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I:\Statistical Development\Detailed Documentation\Data Initiatives\#100 Self-Service Return Builder\#109 SPE\"/>
    </mc:Choice>
  </mc:AlternateContent>
  <workbookProtection workbookAlgorithmName="SHA-512" workbookHashValue="4YR/hYKl6FIcT/GLzPWIqdVW5L5MaUO+I6Pfa8dkyjK74KnCmOBRY4md05Y/tL4BboeqHodwOGPqf4ItfN+6gA==" workbookSaltValue="M6yItG9twG7rcOgUdZXLeA==" workbookSpinCount="100000" lockStructure="1"/>
  <bookViews>
    <workbookView xWindow="0" yWindow="2580" windowWidth="19200" windowHeight="4320" tabRatio="799"/>
  </bookViews>
  <sheets>
    <sheet name="Cover" sheetId="45" r:id="rId1"/>
    <sheet name="Validations" sheetId="44" r:id="rId2"/>
    <sheet name="General" sheetId="42" r:id="rId3"/>
    <sheet name="InstitutionConnections" sheetId="43" r:id="rId4"/>
    <sheet name="DebtIssuanceCurrency" sheetId="47" r:id="rId5"/>
    <sheet name="Lists" sheetId="21" r:id="rId6"/>
  </sheets>
  <definedNames>
    <definedName name="_xlnm._FilterDatabase" localSheetId="5" hidden="1">Lists!$A$1:$Y$1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"02/18/2016 12:51:06"</definedName>
    <definedName name="IQ_QTD" hidden="1">750000</definedName>
    <definedName name="IQ_TODAY" hidden="1">0</definedName>
    <definedName name="IQ_YTDMONTH" hidden="1">130000</definedName>
    <definedName name="lis_AccountancyStandard">Lists!$T$2:$T$7</definedName>
    <definedName name="lis_CompanyType">Lists!$E$2:$E$16</definedName>
    <definedName name="lis_Country">Lists!$W$2:$W$248</definedName>
    <definedName name="lis_County">Lists!$F$2:$F$33</definedName>
    <definedName name="lis_Currency">Lists!$P$2:$P$166</definedName>
    <definedName name="lis_EircodeRoutingKey">Lists!$G$2:$G$140</definedName>
    <definedName name="lis_InstitutionConnectionRole">Lists!$U$2:$U$11</definedName>
    <definedName name="lis_LegalEntityType">Lists!$D$2:$D$3</definedName>
    <definedName name="lis_LocationOfExchangeWhereListed">Lists!$R$2:$R$12</definedName>
    <definedName name="lis_NameOfSecuritisationRepository">Lists!$K$2:$K$3</definedName>
    <definedName name="lis_NatureOfSecuritisation">Lists!$J$2:$J$5</definedName>
    <definedName name="lis_OriginatorOfAssets">Lists!$Q$2:$Q$3</definedName>
    <definedName name="lis_OtherIdentifierName">Lists!$V$2:$V$163</definedName>
    <definedName name="lis_PrivateOrPublicSecuritisation">Lists!$I$2:$I$3</definedName>
    <definedName name="lis_PurposeOfFiling">Lists!$C$2:$C$5</definedName>
    <definedName name="lis_Q5.1">Lists!$S$2:$S$6</definedName>
    <definedName name="lis_Sector">Lists!$X$2:$X$14</definedName>
    <definedName name="lis_SectorCode">Lists!$Y$2:$Y$14</definedName>
    <definedName name="lis_UnderlyingExposureClassification">Lists!$L$2:$L$11</definedName>
    <definedName name="lis_VehicleActivityFVC">Lists!$N$2:$N$17</definedName>
    <definedName name="lis_VehicleActivitySPV">Lists!$O$2:$O$17</definedName>
    <definedName name="lis_YesNo">Lists!$B$2:$B$3</definedName>
    <definedName name="ref_AccountancyStandard">General!$D$46</definedName>
    <definedName name="ref_AddressArea">General!$D$12</definedName>
    <definedName name="ref_AddressFloorBuilding">General!$D$10</definedName>
    <definedName name="ref_AddressOther">General!$D$13</definedName>
    <definedName name="ref_AddressStreet">General!$D$11</definedName>
    <definedName name="ref_CentralBankInstitutionNumber">General!$D$3</definedName>
    <definedName name="ref_CompanyType">General!$D$9</definedName>
    <definedName name="ref_Consolidation">General!$D$45</definedName>
    <definedName name="ref_Country">General!$D$16</definedName>
    <definedName name="ref_County">General!$D$14</definedName>
    <definedName name="ref_CRO">General!$D$8</definedName>
    <definedName name="ref_DebtIssuanceCurrencyDetails">General!$D$36</definedName>
    <definedName name="ref_DoesThisSPEIssueDebtSecurities">General!$D$42</definedName>
    <definedName name="ref_Eircode">General!$D$15</definedName>
    <definedName name="ref_ExpectedFTEs">General!$D$34</definedName>
    <definedName name="ref_FirstReportAssetSize">General!$D$40</definedName>
    <definedName name="ref_InstitutionName">General!$D$6</definedName>
    <definedName name="ref_InstitutionNumber">Cover!$E$3</definedName>
    <definedName name="ref_IsThisSPEIssuedDebtListed">General!$D$43</definedName>
    <definedName name="ref_LegalEntityType">General!$D$5</definedName>
    <definedName name="ref_LEI">General!$D$7</definedName>
    <definedName name="ref_LocationOfExchangeWhereListed">General!$D$44</definedName>
    <definedName name="ref_MaximumIssuanceSize">General!$D$41</definedName>
    <definedName name="ref_MIVDeclaration">General!$D$31</definedName>
    <definedName name="ref_MultiVehicleStructure">General!$D$38</definedName>
    <definedName name="ref_NameOfSecuritisationRepository">General!$D$27</definedName>
    <definedName name="ref_NatureOfSecuritisation">General!$D$24</definedName>
    <definedName name="ref_NatureOfSecuritisationDescription">General!$D$25</definedName>
    <definedName name="ref_NonConsolidatedInterestDisclosure">General!$D$47</definedName>
    <definedName name="ref_NumberOfTranches">General!$D$29</definedName>
    <definedName name="ref_OriginatorOfAssets">General!$D$39</definedName>
    <definedName name="ref_OrphanStructure">General!$D$37</definedName>
    <definedName name="ref_PrivateOrPublicSecuritisation">General!$D$23</definedName>
    <definedName name="ref_PurposeOfFiling">General!$D$4</definedName>
    <definedName name="ref_Q1">General!$D$51</definedName>
    <definedName name="ref_Q2">General!$D$52</definedName>
    <definedName name="ref_Q3">General!$D$54</definedName>
    <definedName name="ref_Q4">General!$D$55</definedName>
    <definedName name="ref_Q5">General!$D$56</definedName>
    <definedName name="ref_Q5.1">General!$D$57</definedName>
    <definedName name="ref_Q6">General!$D$58</definedName>
    <definedName name="ref_Q7">General!$D$59</definedName>
    <definedName name="ref_Q8">General!$D$60</definedName>
    <definedName name="ref_RegisteredAsSchedule2">General!$D$21</definedName>
    <definedName name="ref_Section110Declaration">General!$D$30</definedName>
    <definedName name="ref_SecuritisationDeclaration">General!$D$22</definedName>
    <definedName name="ref_SecuritisationReportedToSR">General!$D$26</definedName>
    <definedName name="ref_ThirdPartySTSVerificationAgent">General!$D$53</definedName>
    <definedName name="ref_UnderlyingExposureClassification">General!$D$28</definedName>
    <definedName name="ref_UndertakenSchedule2Activities">General!$D$20</definedName>
    <definedName name="ref_VehicleActivity">General!$D$32</definedName>
    <definedName name="ref_VehicleActivity_ActiveList">Lists!$M$5</definedName>
    <definedName name="ref_VehicleActivityDescription">General!$D$33</definedName>
    <definedName name="ref_VehicleCurrency">General!$D$35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44" l="1"/>
  <c r="F130" i="44"/>
  <c r="F166" i="44" l="1" a="1"/>
  <c r="F166" i="44" s="1"/>
  <c r="F133" i="44" l="1"/>
  <c r="F132" i="44"/>
  <c r="F131" i="44"/>
  <c r="G134" i="44"/>
  <c r="G133" i="44"/>
  <c r="G132" i="44"/>
  <c r="G131" i="44"/>
  <c r="G130" i="44"/>
  <c r="F117" i="44"/>
  <c r="F120" i="44" l="1"/>
  <c r="F65" i="44"/>
  <c r="F63" i="44"/>
  <c r="F50" i="44" l="1"/>
  <c r="F47" i="44" l="1"/>
  <c r="G126" i="44" l="1"/>
  <c r="F126" i="44"/>
  <c r="F5" i="44"/>
  <c r="F15" i="44"/>
  <c r="F122" i="44" l="1" a="1"/>
  <c r="F122" i="44" s="1"/>
  <c r="G122" i="44"/>
  <c r="J2" i="43" l="1"/>
  <c r="J3" i="43"/>
  <c r="J4" i="43"/>
  <c r="J5" i="43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J27" i="43"/>
  <c r="J28" i="43"/>
  <c r="J29" i="43"/>
  <c r="J30" i="43"/>
  <c r="J31" i="43"/>
  <c r="J32" i="43"/>
  <c r="J33" i="43"/>
  <c r="J34" i="43"/>
  <c r="J35" i="43"/>
  <c r="J36" i="43"/>
  <c r="J37" i="43"/>
  <c r="J38" i="43"/>
  <c r="J39" i="43"/>
  <c r="J40" i="43"/>
  <c r="J41" i="43"/>
  <c r="J42" i="43"/>
  <c r="J43" i="43"/>
  <c r="J44" i="43"/>
  <c r="J45" i="43"/>
  <c r="J46" i="43"/>
  <c r="J47" i="43"/>
  <c r="J48" i="43"/>
  <c r="J49" i="43"/>
  <c r="J50" i="43"/>
  <c r="J51" i="43"/>
  <c r="F4" i="44" l="1"/>
  <c r="C4" i="47" l="1"/>
  <c r="C5" i="47"/>
  <c r="C6" i="47"/>
  <c r="C7" i="47"/>
  <c r="C8" i="47"/>
  <c r="C9" i="47"/>
  <c r="C10" i="47"/>
  <c r="C11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3" i="47"/>
  <c r="C34" i="47"/>
  <c r="C35" i="47"/>
  <c r="C36" i="47"/>
  <c r="C37" i="47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C52" i="47"/>
  <c r="C53" i="47"/>
  <c r="C54" i="47"/>
  <c r="C55" i="47"/>
  <c r="C56" i="47"/>
  <c r="C57" i="47"/>
  <c r="C58" i="47"/>
  <c r="C59" i="47"/>
  <c r="C60" i="47"/>
  <c r="C61" i="47"/>
  <c r="C62" i="47"/>
  <c r="C63" i="47"/>
  <c r="C64" i="47"/>
  <c r="C65" i="47"/>
  <c r="C66" i="47"/>
  <c r="C67" i="47"/>
  <c r="C68" i="47"/>
  <c r="C69" i="47"/>
  <c r="C70" i="47"/>
  <c r="C71" i="47"/>
  <c r="C72" i="47"/>
  <c r="C73" i="47"/>
  <c r="C74" i="47"/>
  <c r="C75" i="47"/>
  <c r="C76" i="47"/>
  <c r="C77" i="47"/>
  <c r="C78" i="47"/>
  <c r="C79" i="47"/>
  <c r="C80" i="47"/>
  <c r="C81" i="47"/>
  <c r="C82" i="47"/>
  <c r="C83" i="47"/>
  <c r="C84" i="47"/>
  <c r="C85" i="47"/>
  <c r="C86" i="47"/>
  <c r="C87" i="47"/>
  <c r="C88" i="47"/>
  <c r="C89" i="47"/>
  <c r="C90" i="47"/>
  <c r="C91" i="47"/>
  <c r="C92" i="47"/>
  <c r="C93" i="47"/>
  <c r="C94" i="47"/>
  <c r="C95" i="47"/>
  <c r="C96" i="47"/>
  <c r="C97" i="47"/>
  <c r="C98" i="47"/>
  <c r="C99" i="47"/>
  <c r="C100" i="47"/>
  <c r="C101" i="47"/>
  <c r="C102" i="47"/>
  <c r="C103" i="47"/>
  <c r="C104" i="47"/>
  <c r="C105" i="47"/>
  <c r="C106" i="47"/>
  <c r="C107" i="47"/>
  <c r="C108" i="47"/>
  <c r="C109" i="47"/>
  <c r="C110" i="47"/>
  <c r="C111" i="47"/>
  <c r="C112" i="47"/>
  <c r="C113" i="47"/>
  <c r="C114" i="47"/>
  <c r="C115" i="47"/>
  <c r="C116" i="47"/>
  <c r="C117" i="47"/>
  <c r="C118" i="47"/>
  <c r="C119" i="47"/>
  <c r="C120" i="47"/>
  <c r="C121" i="47"/>
  <c r="C122" i="47"/>
  <c r="C123" i="47"/>
  <c r="C124" i="47"/>
  <c r="C125" i="47"/>
  <c r="C126" i="47"/>
  <c r="C127" i="47"/>
  <c r="C128" i="47"/>
  <c r="C129" i="47"/>
  <c r="C130" i="47"/>
  <c r="C131" i="47"/>
  <c r="C132" i="47"/>
  <c r="C133" i="47"/>
  <c r="C134" i="47"/>
  <c r="C135" i="47"/>
  <c r="C136" i="47"/>
  <c r="C137" i="47"/>
  <c r="C138" i="47"/>
  <c r="C139" i="47"/>
  <c r="C140" i="47"/>
  <c r="C141" i="47"/>
  <c r="C142" i="47"/>
  <c r="C143" i="47"/>
  <c r="C144" i="47"/>
  <c r="C145" i="47"/>
  <c r="C146" i="47"/>
  <c r="C147" i="47"/>
  <c r="C148" i="47"/>
  <c r="C149" i="47"/>
  <c r="C150" i="47"/>
  <c r="C151" i="47"/>
  <c r="C152" i="47"/>
  <c r="C153" i="47"/>
  <c r="C154" i="47"/>
  <c r="C155" i="47"/>
  <c r="C156" i="47"/>
  <c r="C157" i="47"/>
  <c r="C158" i="47"/>
  <c r="C159" i="47"/>
  <c r="C160" i="47"/>
  <c r="C161" i="47"/>
  <c r="C162" i="47"/>
  <c r="C163" i="47"/>
  <c r="C164" i="47"/>
  <c r="C165" i="47"/>
  <c r="C166" i="47"/>
  <c r="C167" i="47"/>
  <c r="C168" i="47"/>
  <c r="G186" i="44" l="1"/>
  <c r="F186" i="44"/>
  <c r="F96" i="44" l="1"/>
  <c r="F95" i="44"/>
  <c r="F93" i="44"/>
  <c r="F92" i="44"/>
  <c r="F91" i="44"/>
  <c r="F90" i="44"/>
  <c r="F94" i="44"/>
  <c r="F22" i="44" l="1"/>
  <c r="F21" i="44"/>
  <c r="F20" i="44"/>
  <c r="F19" i="44"/>
  <c r="F41" i="44"/>
  <c r="F84" i="44" l="1"/>
  <c r="F119" i="44" l="1"/>
  <c r="G185" i="44"/>
  <c r="F185" i="44"/>
  <c r="G184" i="44"/>
  <c r="F184" i="44"/>
  <c r="G183" i="44"/>
  <c r="F183" i="44"/>
  <c r="G182" i="44"/>
  <c r="F182" i="44"/>
  <c r="G181" i="44"/>
  <c r="F181" i="44"/>
  <c r="G180" i="44"/>
  <c r="F180" i="44"/>
  <c r="G179" i="44"/>
  <c r="F179" i="44"/>
  <c r="G178" i="44"/>
  <c r="F178" i="44"/>
  <c r="G177" i="44"/>
  <c r="F177" i="44"/>
  <c r="G176" i="44"/>
  <c r="F176" i="44"/>
  <c r="G175" i="44"/>
  <c r="F175" i="44"/>
  <c r="G174" i="44"/>
  <c r="F174" i="44"/>
  <c r="G173" i="44"/>
  <c r="F173" i="44"/>
  <c r="G172" i="44"/>
  <c r="F172" i="44"/>
  <c r="G171" i="44"/>
  <c r="F171" i="44"/>
  <c r="G170" i="44"/>
  <c r="F170" i="44"/>
  <c r="G169" i="44"/>
  <c r="F169" i="44"/>
  <c r="G168" i="44"/>
  <c r="F168" i="44"/>
  <c r="G167" i="44"/>
  <c r="F167" i="44"/>
  <c r="G161" i="44"/>
  <c r="F161" i="44"/>
  <c r="G160" i="44"/>
  <c r="F160" i="44"/>
  <c r="G159" i="44"/>
  <c r="F159" i="44"/>
  <c r="G158" i="44"/>
  <c r="F158" i="44"/>
  <c r="G157" i="44"/>
  <c r="F157" i="44"/>
  <c r="G156" i="44"/>
  <c r="F156" i="44"/>
  <c r="G155" i="44"/>
  <c r="F155" i="44"/>
  <c r="G154" i="44"/>
  <c r="F154" i="44"/>
  <c r="G153" i="44"/>
  <c r="F153" i="44"/>
  <c r="G152" i="44"/>
  <c r="F152" i="44"/>
  <c r="G151" i="44"/>
  <c r="F151" i="44"/>
  <c r="G150" i="44"/>
  <c r="F150" i="44"/>
  <c r="G149" i="44"/>
  <c r="F149" i="44"/>
  <c r="G148" i="44"/>
  <c r="F148" i="44"/>
  <c r="G147" i="44"/>
  <c r="F147" i="44"/>
  <c r="G146" i="44"/>
  <c r="F146" i="44"/>
  <c r="G145" i="44"/>
  <c r="F145" i="44"/>
  <c r="G144" i="44"/>
  <c r="F144" i="44"/>
  <c r="G143" i="44"/>
  <c r="F143" i="44"/>
  <c r="G142" i="44"/>
  <c r="F142" i="44"/>
  <c r="G141" i="44"/>
  <c r="F141" i="44"/>
  <c r="G140" i="44"/>
  <c r="F140" i="44"/>
  <c r="G139" i="44"/>
  <c r="F139" i="44"/>
  <c r="G138" i="44"/>
  <c r="F138" i="44"/>
  <c r="G137" i="44"/>
  <c r="F137" i="44"/>
  <c r="G136" i="44"/>
  <c r="F136" i="44"/>
  <c r="G135" i="44"/>
  <c r="F135" i="44"/>
  <c r="G129" i="44"/>
  <c r="F129" i="44"/>
  <c r="G128" i="44"/>
  <c r="F128" i="44"/>
  <c r="G124" i="44"/>
  <c r="F124" i="44"/>
  <c r="G121" i="44"/>
  <c r="F121" i="44"/>
  <c r="G165" i="44"/>
  <c r="F165" i="44"/>
  <c r="G164" i="44"/>
  <c r="F164" i="44"/>
  <c r="G163" i="44"/>
  <c r="F163" i="44"/>
  <c r="G162" i="44"/>
  <c r="F162" i="44"/>
  <c r="F55" i="44"/>
  <c r="G125" i="44"/>
  <c r="F125" i="44"/>
  <c r="F127" i="44" a="1"/>
  <c r="F127" i="44" s="1"/>
  <c r="G127" i="44"/>
  <c r="G123" i="44"/>
  <c r="F123" i="44"/>
  <c r="G187" i="44" l="1"/>
  <c r="F187" i="44"/>
  <c r="F115" i="44" l="1"/>
  <c r="F26" i="44"/>
  <c r="F54" i="44" l="1"/>
  <c r="F46" i="44" l="1"/>
  <c r="F29" i="44"/>
  <c r="F11" i="44" l="1"/>
  <c r="F34" i="44"/>
  <c r="F17" i="44"/>
  <c r="F28" i="44"/>
  <c r="F13" i="44"/>
  <c r="F82" i="44"/>
  <c r="F80" i="44"/>
  <c r="F48" i="44"/>
  <c r="F37" i="44"/>
  <c r="F87" i="44"/>
  <c r="F86" i="44"/>
  <c r="F85" i="44"/>
  <c r="F83" i="44"/>
  <c r="F81" i="44"/>
  <c r="F79" i="44"/>
  <c r="F78" i="44"/>
  <c r="F77" i="44"/>
  <c r="F73" i="44"/>
  <c r="F69" i="44"/>
  <c r="F67" i="44"/>
  <c r="F59" i="44"/>
  <c r="F56" i="44"/>
  <c r="F44" i="44"/>
  <c r="F43" i="44"/>
  <c r="F38" i="44"/>
  <c r="F33" i="44"/>
  <c r="F31" i="44"/>
  <c r="F75" i="44"/>
  <c r="F71" i="44"/>
  <c r="F61" i="44"/>
  <c r="F52" i="44"/>
  <c r="F40" i="44"/>
  <c r="F39" i="44"/>
  <c r="F36" i="44"/>
  <c r="F35" i="44" l="1"/>
  <c r="F97" i="44"/>
  <c r="F24" i="44"/>
  <c r="F9" i="44"/>
  <c r="F7" i="44"/>
  <c r="F118" i="44" l="1"/>
  <c r="F109" i="44"/>
  <c r="F104" i="44" l="1"/>
  <c r="F116" i="44" l="1"/>
  <c r="F76" i="44"/>
  <c r="F72" i="44"/>
  <c r="F107" i="44"/>
  <c r="F111" i="44"/>
  <c r="M5" i="21"/>
  <c r="F89" i="44"/>
  <c r="D68" i="43" l="1"/>
  <c r="F88" i="44"/>
  <c r="F68" i="44" l="1"/>
  <c r="F12" i="44"/>
  <c r="F114" i="44" l="1"/>
  <c r="F113" i="44"/>
  <c r="F112" i="44"/>
  <c r="F110" i="44"/>
  <c r="F108" i="44"/>
  <c r="F106" i="44"/>
  <c r="F105" i="44"/>
  <c r="F103" i="44"/>
  <c r="F70" i="44"/>
  <c r="F57" i="44" l="1"/>
  <c r="F25" i="44" l="1"/>
  <c r="F98" i="44" l="1"/>
  <c r="F74" i="44" l="1"/>
  <c r="F66" i="44"/>
  <c r="F64" i="44"/>
  <c r="F62" i="44"/>
  <c r="F60" i="44"/>
  <c r="F58" i="44"/>
  <c r="F53" i="44"/>
  <c r="F51" i="44"/>
  <c r="F49" i="44"/>
  <c r="F45" i="44"/>
  <c r="F42" i="44"/>
  <c r="F32" i="44"/>
  <c r="F30" i="44"/>
  <c r="F27" i="44"/>
  <c r="F23" i="44"/>
  <c r="F18" i="44"/>
  <c r="F16" i="44"/>
  <c r="F14" i="44"/>
  <c r="F10" i="44"/>
  <c r="F8" i="44"/>
  <c r="F6" i="44"/>
  <c r="F102" i="44" l="1"/>
  <c r="F101" i="44"/>
  <c r="F100" i="44"/>
  <c r="F99" i="44"/>
  <c r="D7" i="45" s="1"/>
  <c r="F1" i="44" l="1"/>
  <c r="I4" i="45"/>
  <c r="E4" i="45" s="1"/>
  <c r="E7" i="45" l="1"/>
</calcChain>
</file>

<file path=xl/sharedStrings.xml><?xml version="1.0" encoding="utf-8"?>
<sst xmlns="http://schemas.openxmlformats.org/spreadsheetml/2006/main" count="2069" uniqueCount="1407">
  <si>
    <t>Country</t>
  </si>
  <si>
    <t>Sector</t>
  </si>
  <si>
    <t>FVC</t>
  </si>
  <si>
    <t>SPV</t>
  </si>
  <si>
    <t>Traditional</t>
  </si>
  <si>
    <t>Synthetic</t>
  </si>
  <si>
    <t>Insurance</t>
  </si>
  <si>
    <t>Other</t>
  </si>
  <si>
    <t>IFRS</t>
  </si>
  <si>
    <t>US GAAP</t>
  </si>
  <si>
    <t>Client Managed Account</t>
  </si>
  <si>
    <t>External Financing</t>
  </si>
  <si>
    <t>Holding Company</t>
  </si>
  <si>
    <t>Insurance Linked Investments</t>
  </si>
  <si>
    <t>Intra Group Financing</t>
  </si>
  <si>
    <t>Investment Fund Linked</t>
  </si>
  <si>
    <t>Loan Origination</t>
  </si>
  <si>
    <t>Receivables Financing</t>
  </si>
  <si>
    <t>Repackaging</t>
  </si>
  <si>
    <t>Resolution Vehicle</t>
  </si>
  <si>
    <t>Bank Linked Investments</t>
  </si>
  <si>
    <t>Euro - EUR</t>
  </si>
  <si>
    <t>United Kingdom Pound - GBP</t>
  </si>
  <si>
    <t>United States Dollar - USD</t>
  </si>
  <si>
    <t>Switzerland Franc - CHF</t>
  </si>
  <si>
    <t>Australia Dollar - AUD</t>
  </si>
  <si>
    <t>Afghanistan Afghani - AFN</t>
  </si>
  <si>
    <t>Albania Lek - ALL</t>
  </si>
  <si>
    <t>Algeria Dinar - DZD</t>
  </si>
  <si>
    <t>Angola Kwanza - AOA</t>
  </si>
  <si>
    <t>Argentina Peso - ARS</t>
  </si>
  <si>
    <t>Armenia Dram - AMD</t>
  </si>
  <si>
    <t>Aruba Guilder - AWG</t>
  </si>
  <si>
    <t>Azerbaijan New Manat - AZN</t>
  </si>
  <si>
    <t>Bahamas Dollar - BSD</t>
  </si>
  <si>
    <t>Bahrain Dinar - BHD</t>
  </si>
  <si>
    <t>Bangladesh Taka - BDT</t>
  </si>
  <si>
    <t>Barbados Dollar - BBD</t>
  </si>
  <si>
    <t>Belarus Ruble - BYR</t>
  </si>
  <si>
    <t>Belize Dollar - BZD</t>
  </si>
  <si>
    <t>Bermuda Dollar - BMD</t>
  </si>
  <si>
    <t>Bhutan Ngultrum - BTN</t>
  </si>
  <si>
    <t>Bolivia Boliviano - BOB</t>
  </si>
  <si>
    <t>Bosnia and Herzegovina Convertible Marka - BAM</t>
  </si>
  <si>
    <t>Botswana Pula - BWP</t>
  </si>
  <si>
    <t>Brazil Real - BRL</t>
  </si>
  <si>
    <t>Brunei Darussalam Dollar - BND</t>
  </si>
  <si>
    <t>Bulgaria Lev - BGN</t>
  </si>
  <si>
    <t>Burundi Franc - BIF</t>
  </si>
  <si>
    <t>Cambodia Riel - KHR</t>
  </si>
  <si>
    <t>Canada Dollar - CAD</t>
  </si>
  <si>
    <t>Cape Verde Escudo - CVE</t>
  </si>
  <si>
    <t>Cayman Islands Dollar - KYD</t>
  </si>
  <si>
    <t>Chile Peso - CLP</t>
  </si>
  <si>
    <t>China Yuan Renminbi Offshore - CNH</t>
  </si>
  <si>
    <t>China Yuan Renminbi - CNY</t>
  </si>
  <si>
    <t>Colombia Peso - COP</t>
  </si>
  <si>
    <t>Communauté Financière Africaine (BCEAO) Franc - XOF</t>
  </si>
  <si>
    <t>Communauté Financière Africaine (BEAC) CFA Franc BEAC - XAF</t>
  </si>
  <si>
    <t>Comoros Franc - KMF</t>
  </si>
  <si>
    <t>Comptoirs Français du Pacifique (CFP) Franc - XPF</t>
  </si>
  <si>
    <t>Congo/Kinshasa Franc - CDF</t>
  </si>
  <si>
    <t>Costa Rica Colon - CRC</t>
  </si>
  <si>
    <t>Croatia Kuna - HRK</t>
  </si>
  <si>
    <t>Cuba Convertible Peso - CUC</t>
  </si>
  <si>
    <t>Cuba Peso - CUP</t>
  </si>
  <si>
    <t>Czech Republic Koruna - CZK</t>
  </si>
  <si>
    <t>Denmark Krone - DKK</t>
  </si>
  <si>
    <t>Djibouti Franc - DJF</t>
  </si>
  <si>
    <t>Dominican Republic Peso - DOP</t>
  </si>
  <si>
    <t>East Caribbean Dollar - XCD</t>
  </si>
  <si>
    <t>Egypt Pound - EGP</t>
  </si>
  <si>
    <t>El Salvador Colon - SVC</t>
  </si>
  <si>
    <t>Eritrea Nakfa - ERN</t>
  </si>
  <si>
    <t>Ethiopia Birr - ETB</t>
  </si>
  <si>
    <t>Falkland Islands (Malvinas) Pound - FKP</t>
  </si>
  <si>
    <t>Fiji Dollar - FJD</t>
  </si>
  <si>
    <t>Gambia Dalasi - GMD</t>
  </si>
  <si>
    <t>Georgia Lari - GEL</t>
  </si>
  <si>
    <t>Ghana Cedi - GHS</t>
  </si>
  <si>
    <t>Gibraltar Pound - GIP</t>
  </si>
  <si>
    <t>Guatemala Quetzal - GTQ</t>
  </si>
  <si>
    <t>Guernsey Pound - GGP</t>
  </si>
  <si>
    <t>Guinea Franc - GNF</t>
  </si>
  <si>
    <t>Guyana Dollar - GYD</t>
  </si>
  <si>
    <t>Haiti Gourde - HTG</t>
  </si>
  <si>
    <t>Honduras Lempira - HNL</t>
  </si>
  <si>
    <t>Hong Kong Dollar - HKD</t>
  </si>
  <si>
    <t>Hungary Forint - HUF</t>
  </si>
  <si>
    <t>Iceland Krona - ISK</t>
  </si>
  <si>
    <t>India Rupee - INR</t>
  </si>
  <si>
    <t>Indonesia Rupiah - IDR</t>
  </si>
  <si>
    <t>International Monetary Fund (IMF) Special Drawing Rights - XDR</t>
  </si>
  <si>
    <t>Iran Rial - IRR</t>
  </si>
  <si>
    <t>Iraq Dinar - IQD</t>
  </si>
  <si>
    <t>Isle of Man Pound - IMP</t>
  </si>
  <si>
    <t>Israel Shekel - ILS</t>
  </si>
  <si>
    <t>Jamaica Dollar - JMD</t>
  </si>
  <si>
    <t>Japan Yen - JPY</t>
  </si>
  <si>
    <t>Jersey Pound - JEP</t>
  </si>
  <si>
    <t>Jordan Dinar - JOD</t>
  </si>
  <si>
    <t>Kazakhstan Tenge - KZT</t>
  </si>
  <si>
    <t>Kenya Shilling - KES</t>
  </si>
  <si>
    <t>Korea (North) Won - KPW</t>
  </si>
  <si>
    <t>Korea (South) Won - KRW</t>
  </si>
  <si>
    <t>Kuwait Dinar - KWD</t>
  </si>
  <si>
    <t>Kyrgyzstan Som - KGS</t>
  </si>
  <si>
    <t>Laos Kip - LAK</t>
  </si>
  <si>
    <t>Latvia Lat - LVL</t>
  </si>
  <si>
    <t>Lebanon Pound - LBP</t>
  </si>
  <si>
    <t>Lesotho Loti - LSL</t>
  </si>
  <si>
    <t>Liberia Dollar - LRD</t>
  </si>
  <si>
    <t>Libya Dinar - LYD</t>
  </si>
  <si>
    <t>Lithuania Litas - LTL</t>
  </si>
  <si>
    <t>Macau Pataca - MOP</t>
  </si>
  <si>
    <t>Macedonia Denar - MKD</t>
  </si>
  <si>
    <t>Madagascar Ariary - MGA</t>
  </si>
  <si>
    <t>Malawi Kwacha - MWK</t>
  </si>
  <si>
    <t>Malaysia Ringgit - MYR</t>
  </si>
  <si>
    <t>Maldives (Maldive Islands) Rufiyaa - MVR</t>
  </si>
  <si>
    <t>Mauritania Ouguiya - MRO</t>
  </si>
  <si>
    <t>Mauritius Rupee - MUR</t>
  </si>
  <si>
    <t>Mexico Peso - MXN</t>
  </si>
  <si>
    <t>Moldova Leu - MDL</t>
  </si>
  <si>
    <t>Mongolia Tughrik - MNT</t>
  </si>
  <si>
    <t>Morocco Dirham - MAD</t>
  </si>
  <si>
    <t>Mozambique Metical - MZN</t>
  </si>
  <si>
    <t>Myanmar (Burma) Kyat - MMK</t>
  </si>
  <si>
    <t>Namibia Dollar - NAD</t>
  </si>
  <si>
    <t>Nepal Rupee - NPR</t>
  </si>
  <si>
    <t>Netherlands Antilles Guilder - ANG</t>
  </si>
  <si>
    <t>New Zealand Dollar - NZD</t>
  </si>
  <si>
    <t>Nicaragua Cordoba - NIO</t>
  </si>
  <si>
    <t>Nigeria Naira - NGN</t>
  </si>
  <si>
    <t>Norway Krone - NOK</t>
  </si>
  <si>
    <t>Oman Rial - OMR</t>
  </si>
  <si>
    <t>Pakistan Rupee - PKR</t>
  </si>
  <si>
    <t>Panama Balboa - PAB</t>
  </si>
  <si>
    <t>Papua New Guinea Kina - PGK</t>
  </si>
  <si>
    <t>Paraguay Guarani - PYG</t>
  </si>
  <si>
    <t>Peru Nuevo Sol - PEN</t>
  </si>
  <si>
    <t>Philippines Peso - PHP</t>
  </si>
  <si>
    <t>Poland Zloty - PLN</t>
  </si>
  <si>
    <t>Qatar Riyal - QAR</t>
  </si>
  <si>
    <t>Romania New Leu - RON</t>
  </si>
  <si>
    <t>Russia Ruble - RUB</t>
  </si>
  <si>
    <t>Rwanda Franc - RWF</t>
  </si>
  <si>
    <t>Saint Helena Pound - SHP</t>
  </si>
  <si>
    <t>Samoa Tala - WST</t>
  </si>
  <si>
    <t>São Tomé and Príncipe Dobra - STD</t>
  </si>
  <si>
    <t>Saudi Arabia Riyal - SAR</t>
  </si>
  <si>
    <t>Seborga Luigino - SPL</t>
  </si>
  <si>
    <t>Serbia Dinar - RSD</t>
  </si>
  <si>
    <t>Seychelles Rupee - SCR</t>
  </si>
  <si>
    <t>Sierra Leone Leone - SLL</t>
  </si>
  <si>
    <t>Singapore Dollar - SGD</t>
  </si>
  <si>
    <t>Solomon Islands Dollar - SBD</t>
  </si>
  <si>
    <t>Somalia Shilling - SOS</t>
  </si>
  <si>
    <t>South Africa Rand - ZAR</t>
  </si>
  <si>
    <t>Sri Lanka Rupee - LKR</t>
  </si>
  <si>
    <t>Sudan Pound - SDG</t>
  </si>
  <si>
    <t>Suriname Dollar - SRD</t>
  </si>
  <si>
    <t>Swaziland Lilangeni - SZL</t>
  </si>
  <si>
    <t>Sweden Krona - SEK</t>
  </si>
  <si>
    <t>Syria Pound - SYP</t>
  </si>
  <si>
    <t>Taiwan New Dollar - TWD</t>
  </si>
  <si>
    <t>Tajikistan Somoni - TJS</t>
  </si>
  <si>
    <t>Tanzania Shilling - TZS</t>
  </si>
  <si>
    <t>Thailand Baht - THB</t>
  </si>
  <si>
    <t>Tonga Pa'anga - TOP</t>
  </si>
  <si>
    <t>Trinidad and Tobago Dollar - TTD</t>
  </si>
  <si>
    <t>Tunisia Dinar - TND</t>
  </si>
  <si>
    <t>Turkey Lira - TRY</t>
  </si>
  <si>
    <t>Turkmenistan Manat - TMT</t>
  </si>
  <si>
    <t>Tuvalu Dollar - TVD</t>
  </si>
  <si>
    <t>Uganda Shilling - UGX</t>
  </si>
  <si>
    <t>Ukraine Hryvna - UAH</t>
  </si>
  <si>
    <t>United Arab Emirates Dirham - AED</t>
  </si>
  <si>
    <t>Uruguay Peso - UYU</t>
  </si>
  <si>
    <t>Uzbekistan Som - UZS</t>
  </si>
  <si>
    <t>Vanuatu Vatu - VUV</t>
  </si>
  <si>
    <t>Venezuela Bolivar Fuerte - VEF</t>
  </si>
  <si>
    <t>Viet Nam Dong - VND</t>
  </si>
  <si>
    <t>Yemen Rial - YER</t>
  </si>
  <si>
    <t>Zambia Kwacha - ZMK</t>
  </si>
  <si>
    <t>Zimbabwe Dollar - ZWD</t>
  </si>
  <si>
    <t>AD - Andorra</t>
  </si>
  <si>
    <t>AE - United Arab Emirates</t>
  </si>
  <si>
    <t>AF - Afghanistan</t>
  </si>
  <si>
    <t>AG - Antigua and Barbuda</t>
  </si>
  <si>
    <t>AI - Anguilla</t>
  </si>
  <si>
    <t>AL - Albania</t>
  </si>
  <si>
    <t>AM - Armenia</t>
  </si>
  <si>
    <t>AO - Angola</t>
  </si>
  <si>
    <t xml:space="preserve">AQ - Antartica </t>
  </si>
  <si>
    <t>AR - Argentina</t>
  </si>
  <si>
    <t>AS - American Samoa</t>
  </si>
  <si>
    <t>AT - Austria</t>
  </si>
  <si>
    <t>AU - Australia</t>
  </si>
  <si>
    <t>AW - Aruba</t>
  </si>
  <si>
    <t>AX - Aland Islands</t>
  </si>
  <si>
    <t>AZ - Azerbaijan</t>
  </si>
  <si>
    <t>BA - Bosnia and Herzegovina</t>
  </si>
  <si>
    <t>BB - Barbados</t>
  </si>
  <si>
    <t>BD - Bangladesh</t>
  </si>
  <si>
    <t>BE - Belgium</t>
  </si>
  <si>
    <t>BF - Burkina Faso</t>
  </si>
  <si>
    <t>BG - Bulgaria</t>
  </si>
  <si>
    <t>BH - Bahrain</t>
  </si>
  <si>
    <t>BI - Burundi</t>
  </si>
  <si>
    <t>BJ - Benin</t>
  </si>
  <si>
    <t>BM - Bermuda</t>
  </si>
  <si>
    <t>BN - Brunei Darussalam</t>
  </si>
  <si>
    <t>BO - Bolivia</t>
  </si>
  <si>
    <t>BQ - Bonaire, Saba and Sint Eustatius</t>
  </si>
  <si>
    <t>BR - Brazil</t>
  </si>
  <si>
    <t>BS - Bahamas</t>
  </si>
  <si>
    <t>BT - Bhutan</t>
  </si>
  <si>
    <t>BV - Bouvet Island</t>
  </si>
  <si>
    <t>BW - Botswana</t>
  </si>
  <si>
    <t>BY - Belarus</t>
  </si>
  <si>
    <t>BZ - Belize</t>
  </si>
  <si>
    <t>CA - Canada</t>
  </si>
  <si>
    <t>CC - COCOS (Keeling) Islands</t>
  </si>
  <si>
    <t>CD - Democratic Republic of the Congo</t>
  </si>
  <si>
    <t>CF - Central African Republic</t>
  </si>
  <si>
    <t>CG - Congo</t>
  </si>
  <si>
    <t>CH - Switzerland</t>
  </si>
  <si>
    <t>CI - Cote d'Ivoire</t>
  </si>
  <si>
    <t>CK - Cook Islands</t>
  </si>
  <si>
    <t>CL - Chile</t>
  </si>
  <si>
    <t>CM - Cameroon</t>
  </si>
  <si>
    <t>CN - China</t>
  </si>
  <si>
    <t>CO - Colombia</t>
  </si>
  <si>
    <t>CR - Costa Rica</t>
  </si>
  <si>
    <t>CU - Cuba</t>
  </si>
  <si>
    <t>CV - Cape Verde</t>
  </si>
  <si>
    <t>CW - Curacao</t>
  </si>
  <si>
    <t>CX - Christmas Island</t>
  </si>
  <si>
    <t>CY - Cyprus</t>
  </si>
  <si>
    <t>CZ - Czech Republic</t>
  </si>
  <si>
    <t>DE - Germany</t>
  </si>
  <si>
    <t>DJ - Djibouti</t>
  </si>
  <si>
    <t>DK - Denmark</t>
  </si>
  <si>
    <t>DM - Dominica</t>
  </si>
  <si>
    <t>DO - Dominican Republic</t>
  </si>
  <si>
    <t>DZ - Algeria</t>
  </si>
  <si>
    <t>EC - Ecuador</t>
  </si>
  <si>
    <t>EE - Estonia</t>
  </si>
  <si>
    <t>EG - Egypt</t>
  </si>
  <si>
    <t>EH - Western Sahara</t>
  </si>
  <si>
    <t>ER - Eritrea</t>
  </si>
  <si>
    <t>ES - Spain</t>
  </si>
  <si>
    <t>ET - Ethiopia</t>
  </si>
  <si>
    <t>FI - Finland</t>
  </si>
  <si>
    <t>FJ - Fiji</t>
  </si>
  <si>
    <t>FK - Falkland Islands (Malvinas)</t>
  </si>
  <si>
    <t xml:space="preserve">FM - Micronesia, Federated States of </t>
  </si>
  <si>
    <t>FO - Faroe Islands</t>
  </si>
  <si>
    <t>FR - France</t>
  </si>
  <si>
    <t>GA - Gabon</t>
  </si>
  <si>
    <t>GB - United Kingdom (Excl GG, JE and IM)</t>
  </si>
  <si>
    <t>GD - Grenada</t>
  </si>
  <si>
    <t>GE - Georgia</t>
  </si>
  <si>
    <t>GF - French Guiana</t>
  </si>
  <si>
    <t xml:space="preserve">GG - Guernsey </t>
  </si>
  <si>
    <t>GH - Ghana</t>
  </si>
  <si>
    <t>GI - Gibraltar</t>
  </si>
  <si>
    <t>GL - Greenland</t>
  </si>
  <si>
    <t>GM - Gambia</t>
  </si>
  <si>
    <t>GN - Guinea</t>
  </si>
  <si>
    <t>GP - Guadeloupe</t>
  </si>
  <si>
    <t>GQ - Equatorial Guinea</t>
  </si>
  <si>
    <t>GR - Greece</t>
  </si>
  <si>
    <t>GS - South Georgia &amp; South Sandwich Islands</t>
  </si>
  <si>
    <t>GT - Guatemala</t>
  </si>
  <si>
    <t>GU - Guam</t>
  </si>
  <si>
    <t>GW - Guinea-Bissau</t>
  </si>
  <si>
    <t>GY - Guyana</t>
  </si>
  <si>
    <t>HK - Hong Kong</t>
  </si>
  <si>
    <t>HM - Heard Island and McDonald Islands</t>
  </si>
  <si>
    <t>HN - Honduras</t>
  </si>
  <si>
    <t>HR - Croatia</t>
  </si>
  <si>
    <t>HT - Haiti</t>
  </si>
  <si>
    <t>HU - Hungary</t>
  </si>
  <si>
    <t>ID - Indonesia</t>
  </si>
  <si>
    <t>IE - Ireland</t>
  </si>
  <si>
    <t>IL - Israel</t>
  </si>
  <si>
    <t xml:space="preserve">IM - Isle of Man </t>
  </si>
  <si>
    <t>IN - India</t>
  </si>
  <si>
    <t>IO - British Indian Ocean Territory</t>
  </si>
  <si>
    <t>IQ - Iraq</t>
  </si>
  <si>
    <t>IR - Iran</t>
  </si>
  <si>
    <t>IS - Iceland</t>
  </si>
  <si>
    <t>IT - Italy</t>
  </si>
  <si>
    <t xml:space="preserve">JE - Jersey </t>
  </si>
  <si>
    <t>JM - Jamaica</t>
  </si>
  <si>
    <t>JO - Jordan</t>
  </si>
  <si>
    <t>JP - Japan</t>
  </si>
  <si>
    <t>KE - Kenya</t>
  </si>
  <si>
    <t>KG - Kyrgyzstan</t>
  </si>
  <si>
    <t xml:space="preserve">KH - Cambodia </t>
  </si>
  <si>
    <t>KI - Kiribati</t>
  </si>
  <si>
    <t>KM - Comoros</t>
  </si>
  <si>
    <t>KN - Saint Kitts and Nevis</t>
  </si>
  <si>
    <t>KP - North Korea</t>
  </si>
  <si>
    <t>KR - South Korea</t>
  </si>
  <si>
    <t>KW - Kuwait</t>
  </si>
  <si>
    <t>KY - Cayman Islands</t>
  </si>
  <si>
    <t>KZ - Kazakhstan</t>
  </si>
  <si>
    <t>LA - Lao</t>
  </si>
  <si>
    <t>LB - Lebanon</t>
  </si>
  <si>
    <t>LC - Saint Lucia</t>
  </si>
  <si>
    <t>LI - Liechtenstein</t>
  </si>
  <si>
    <t>LK - Sri Lanka</t>
  </si>
  <si>
    <t>LR - Liberia</t>
  </si>
  <si>
    <t>LS - Lesotho</t>
  </si>
  <si>
    <t>LT - Lithuania</t>
  </si>
  <si>
    <t>LU - Luxembourg</t>
  </si>
  <si>
    <t>LV - Latvia</t>
  </si>
  <si>
    <t>LY - Libyan Arab Jamahiriya</t>
  </si>
  <si>
    <t>MA - Morocco</t>
  </si>
  <si>
    <t>MC - Monaco</t>
  </si>
  <si>
    <t>MD - Moldova, Republic of</t>
  </si>
  <si>
    <t>ME - Montenegro</t>
  </si>
  <si>
    <t>MG - Madagascar</t>
  </si>
  <si>
    <t>MH - Marshall Islands</t>
  </si>
  <si>
    <t>MK - FYR Macedonia</t>
  </si>
  <si>
    <t>ML - Mali</t>
  </si>
  <si>
    <t>MM - Myanmar</t>
  </si>
  <si>
    <t>MN - Mongolia</t>
  </si>
  <si>
    <t>MP - Northern Mariana Islands</t>
  </si>
  <si>
    <t>MQ - Martinique</t>
  </si>
  <si>
    <t>MR - Mauritania</t>
  </si>
  <si>
    <t>MS - Montserrat</t>
  </si>
  <si>
    <t>MT - Malta</t>
  </si>
  <si>
    <t>MU - Mauritius</t>
  </si>
  <si>
    <t>MV - Maldives</t>
  </si>
  <si>
    <t>MW - Malawi</t>
  </si>
  <si>
    <t>MX - Mexico</t>
  </si>
  <si>
    <t>MY - Malaysia</t>
  </si>
  <si>
    <t>MZ - Mozambique</t>
  </si>
  <si>
    <t>NA - Namibia</t>
  </si>
  <si>
    <t>NC - New Caledonia</t>
  </si>
  <si>
    <t>NE - Niger</t>
  </si>
  <si>
    <t>NF - Norfolk Island</t>
  </si>
  <si>
    <t>NG - Nigeria</t>
  </si>
  <si>
    <t>NI - Nicaragua</t>
  </si>
  <si>
    <t>NL - Netherlands</t>
  </si>
  <si>
    <t>NO - Norway</t>
  </si>
  <si>
    <t>NP - Nepal</t>
  </si>
  <si>
    <t>NR - Nauru</t>
  </si>
  <si>
    <t>NU - Niue</t>
  </si>
  <si>
    <t>NZ - New Zealand</t>
  </si>
  <si>
    <t>OM - Oman</t>
  </si>
  <si>
    <t>PA - Panama</t>
  </si>
  <si>
    <t>PE - Peru</t>
  </si>
  <si>
    <t>PF - French Polynesia</t>
  </si>
  <si>
    <t>PG - Papua New Guinea</t>
  </si>
  <si>
    <t>PH - Philippines</t>
  </si>
  <si>
    <t>PK - Pakistan</t>
  </si>
  <si>
    <t>PL - Poland</t>
  </si>
  <si>
    <t>PM - Saint Pierre and Miquelon</t>
  </si>
  <si>
    <t>PN - Pitcairn</t>
  </si>
  <si>
    <t>PR - Puerto Rico</t>
  </si>
  <si>
    <t>PS - Palestinian Territory</t>
  </si>
  <si>
    <t>PT - Portugal</t>
  </si>
  <si>
    <t>PW - Palau</t>
  </si>
  <si>
    <t>PY - Paraguay</t>
  </si>
  <si>
    <t>QA - Qatar</t>
  </si>
  <si>
    <t>RE - Reunion</t>
  </si>
  <si>
    <t>RO - Romania</t>
  </si>
  <si>
    <t xml:space="preserve">RS - Serbia </t>
  </si>
  <si>
    <t>RU - Russian Federation</t>
  </si>
  <si>
    <t>RW - Rwanda</t>
  </si>
  <si>
    <t>SA - Saudi Arabia</t>
  </si>
  <si>
    <t>SB - Solomon Islands</t>
  </si>
  <si>
    <t>SC - Seychelles</t>
  </si>
  <si>
    <t>SD - Sudan</t>
  </si>
  <si>
    <t>SE - Sweden</t>
  </si>
  <si>
    <t>SG - Singapore</t>
  </si>
  <si>
    <t>SH - Saint Helena</t>
  </si>
  <si>
    <t>SI - Slovenia</t>
  </si>
  <si>
    <t>SJ - Svalbard and Jan Mayen</t>
  </si>
  <si>
    <t>SK - Slovakia</t>
  </si>
  <si>
    <t>SL - Sierra Leone</t>
  </si>
  <si>
    <t>SM - San Marino</t>
  </si>
  <si>
    <t>SN - Senegal</t>
  </si>
  <si>
    <t>SO - Somalia</t>
  </si>
  <si>
    <t>SR - Suriname</t>
  </si>
  <si>
    <t>SS - South Sudan</t>
  </si>
  <si>
    <t>ST - Sao Tome and Principe</t>
  </si>
  <si>
    <t>SV - El Salvador</t>
  </si>
  <si>
    <t>SX - Sint Maarten</t>
  </si>
  <si>
    <t>SY - Syrian Arab Republic</t>
  </si>
  <si>
    <t>SZ - Swaziland</t>
  </si>
  <si>
    <t>TC - Turks and Caicos Islands</t>
  </si>
  <si>
    <t>TD - Chad</t>
  </si>
  <si>
    <t>TF - French Southern Territories</t>
  </si>
  <si>
    <t>TG - Togo</t>
  </si>
  <si>
    <t>TH - Thailand</t>
  </si>
  <si>
    <t>TJ - Tajikistan</t>
  </si>
  <si>
    <t>TK - Tokelau</t>
  </si>
  <si>
    <t>TL - Timor-Leste</t>
  </si>
  <si>
    <t>TM - Turkmenistan</t>
  </si>
  <si>
    <t>TN - Tunisia</t>
  </si>
  <si>
    <t>TO - Tonga</t>
  </si>
  <si>
    <t>TR - Turkey</t>
  </si>
  <si>
    <t>TT - Trinidad and Tobago</t>
  </si>
  <si>
    <t>TV - Tuvalu</t>
  </si>
  <si>
    <t>TW - Taiwan</t>
  </si>
  <si>
    <t>TZ - Tanzania</t>
  </si>
  <si>
    <t>UA - Ukraine</t>
  </si>
  <si>
    <t>UG - Uganda</t>
  </si>
  <si>
    <t>UM - United States Minor Outlying Islands</t>
  </si>
  <si>
    <t>US - United States</t>
  </si>
  <si>
    <t>UY - Uruguay</t>
  </si>
  <si>
    <t>UZ - Uzbekistan</t>
  </si>
  <si>
    <t>VA - Holy See (Vatican City State)</t>
  </si>
  <si>
    <t>VC - Saint Vincent and the Grenadines</t>
  </si>
  <si>
    <t>VE - Venezuela</t>
  </si>
  <si>
    <t>VG - British Virgin Islands</t>
  </si>
  <si>
    <t>VI - U.S. Virgin Islands</t>
  </si>
  <si>
    <t>VN - Vietnam</t>
  </si>
  <si>
    <t>VU - Vanuatu</t>
  </si>
  <si>
    <t>WF - Wallis and Futuna</t>
  </si>
  <si>
    <t>WS - Samoa</t>
  </si>
  <si>
    <t>YE - Yemen</t>
  </si>
  <si>
    <t>YT - Mayotte</t>
  </si>
  <si>
    <t>ZA - South Africa</t>
  </si>
  <si>
    <t>ZM - Zambia</t>
  </si>
  <si>
    <t>ZW - Zimbabwe</t>
  </si>
  <si>
    <t>CB - Central Bank</t>
  </si>
  <si>
    <t>GOV - Government</t>
  </si>
  <si>
    <t>DTC - Deposit-Taking Corporation</t>
  </si>
  <si>
    <t>FAU - Financial Auxiliary</t>
  </si>
  <si>
    <t>FVC - Financial Vehicle Corporation</t>
  </si>
  <si>
    <t>HHS - Household</t>
  </si>
  <si>
    <t>IC - Insurance Corporation</t>
  </si>
  <si>
    <t>IF - Investment Funds (excl MMF)</t>
  </si>
  <si>
    <t>MMF - Money Market Fund</t>
  </si>
  <si>
    <t>NFC - Non-Financial Corporation</t>
  </si>
  <si>
    <t>OFI - Other Financial Intermediaries</t>
  </si>
  <si>
    <t>PF - Pension Fund</t>
  </si>
  <si>
    <t>SPV - Special Purpose Vehicle</t>
  </si>
  <si>
    <t>Ireland</t>
  </si>
  <si>
    <t>Vehicle Activity</t>
  </si>
  <si>
    <t>Vehicle Currency</t>
  </si>
  <si>
    <t>Nature of Securitisation</t>
  </si>
  <si>
    <t>Single</t>
  </si>
  <si>
    <t>Multiple</t>
  </si>
  <si>
    <t>Company Type</t>
  </si>
  <si>
    <t>Securitisation Declaration</t>
  </si>
  <si>
    <t>Section 110 Declaration</t>
  </si>
  <si>
    <t>Yes</t>
  </si>
  <si>
    <t>No</t>
  </si>
  <si>
    <t>Canada</t>
  </si>
  <si>
    <t>China</t>
  </si>
  <si>
    <t>France</t>
  </si>
  <si>
    <t>Germany</t>
  </si>
  <si>
    <t>Hong Kong</t>
  </si>
  <si>
    <t>Japan</t>
  </si>
  <si>
    <t>Switzerland</t>
  </si>
  <si>
    <t>United Kingdom</t>
  </si>
  <si>
    <t>United States</t>
  </si>
  <si>
    <t>Legal Entity Type</t>
  </si>
  <si>
    <t>Orphan Structure</t>
  </si>
  <si>
    <t>Multi-Vehicle Structure</t>
  </si>
  <si>
    <t>SPE Activity Information</t>
  </si>
  <si>
    <t>Non-Consolidated Interest Disclosure</t>
  </si>
  <si>
    <t>Vehicle Activity Description</t>
  </si>
  <si>
    <t>Consolidation</t>
  </si>
  <si>
    <t>Sole Trader</t>
  </si>
  <si>
    <t>Partnership</t>
  </si>
  <si>
    <t>Private Limited Company</t>
  </si>
  <si>
    <t>Public Limited Company</t>
  </si>
  <si>
    <t>Unlimited Liability Company</t>
  </si>
  <si>
    <t>Limited Company</t>
  </si>
  <si>
    <t>Unlimited Public Company</t>
  </si>
  <si>
    <t>Limited Liability Company</t>
  </si>
  <si>
    <t>Local Authority</t>
  </si>
  <si>
    <t>Societas Europaea</t>
  </si>
  <si>
    <t>ICAV</t>
  </si>
  <si>
    <t>Designated Activity Company</t>
  </si>
  <si>
    <t>Limited Partnership</t>
  </si>
  <si>
    <t>Trust</t>
  </si>
  <si>
    <t>Unit Trust</t>
  </si>
  <si>
    <t>Nature of Securitisation - Description</t>
  </si>
  <si>
    <t>National GAAP consistent with IFRS</t>
  </si>
  <si>
    <t>National GAAP not consistent with IFRS</t>
  </si>
  <si>
    <t>Irish and UK GAAP</t>
  </si>
  <si>
    <t>Originator of Assets - Single or Multiple</t>
  </si>
  <si>
    <t>Registered Office of Vehicle - Floor, Building</t>
  </si>
  <si>
    <t>AddressLine2 - Area</t>
  </si>
  <si>
    <t>AddressLine3 - Other</t>
  </si>
  <si>
    <t>Non-Securitisation SPE (SPV)</t>
  </si>
  <si>
    <t>MO - Macao</t>
  </si>
  <si>
    <t>Another Unspecified Country</t>
  </si>
  <si>
    <t>MIV - Multi-Issuance Vehicle - Declaration</t>
  </si>
  <si>
    <t>Trade Receivables</t>
  </si>
  <si>
    <t>#</t>
  </si>
  <si>
    <t>Aircraft Lease Portfolio Securitisation</t>
  </si>
  <si>
    <t>Aircraft Enhanced Equipment Trust Certification</t>
  </si>
  <si>
    <t>Other Lease Securitisation</t>
  </si>
  <si>
    <t>Accountancy Standard</t>
  </si>
  <si>
    <t>ECB Securitisation Regulation [2017/2402]</t>
  </si>
  <si>
    <t>Operational Leasing</t>
  </si>
  <si>
    <t>Financial Leasing</t>
  </si>
  <si>
    <t>Purpose of filing</t>
  </si>
  <si>
    <t>Registration</t>
  </si>
  <si>
    <t>Deregistration</t>
  </si>
  <si>
    <t>Admin change</t>
  </si>
  <si>
    <t>Update details</t>
  </si>
  <si>
    <t>Third-party STS Verification Agent</t>
  </si>
  <si>
    <t>Please confirm if this company has undertaken or will undertake Schedule 2 business activities* as referenced in CJA 2010-2022.</t>
  </si>
  <si>
    <t>Has the company been registered with the Central Bank as a Schedule 2 firm?</t>
  </si>
  <si>
    <t>Private or Public Securitisation</t>
  </si>
  <si>
    <t>Public</t>
  </si>
  <si>
    <t>Private</t>
  </si>
  <si>
    <t>Has Securitisation been reported to a Securitisation Repository (SR) ?</t>
  </si>
  <si>
    <t>Name of Securitisation Repository</t>
  </si>
  <si>
    <t>Underlying Exposure Classification</t>
  </si>
  <si>
    <t>Number of Tranches</t>
  </si>
  <si>
    <t>ALOL - Automobile Loan or Lease</t>
  </si>
  <si>
    <t>CONL - Consumer loan</t>
  </si>
  <si>
    <t>CMRT - Commercial Mortgage</t>
  </si>
  <si>
    <t>CCRR - Credit-Card Receivable</t>
  </si>
  <si>
    <t>LEAS - Lease</t>
  </si>
  <si>
    <t>RMRT - Residential Mortgage</t>
  </si>
  <si>
    <t>MIXD - Mixed</t>
  </si>
  <si>
    <t>OTHR - Other</t>
  </si>
  <si>
    <t>Expected FTEs</t>
  </si>
  <si>
    <t>Debt Issuance Currency</t>
  </si>
  <si>
    <t>Reference</t>
  </si>
  <si>
    <t>Validation Description</t>
  </si>
  <si>
    <t>Valid</t>
  </si>
  <si>
    <t>Financial Vehicle Corporation (FVC)</t>
  </si>
  <si>
    <t>ABCP Asset Backed Commercial Paper</t>
  </si>
  <si>
    <t>ABS Consumer - Asset Backed Securities</t>
  </si>
  <si>
    <t>ABS Corporate - Asset Backed Securities</t>
  </si>
  <si>
    <t>ABS Aircraft - Asset Backed Securities</t>
  </si>
  <si>
    <t>RMBS Residential Mortgage Backed Securities</t>
  </si>
  <si>
    <t>CMBS Commercial Mortgage Backed Securities</t>
  </si>
  <si>
    <t>CBO Collateralised Bond Obligations</t>
  </si>
  <si>
    <t>CLO Collateralised Loan Obligations</t>
  </si>
  <si>
    <t>CMO Collateralised Mortgage Oblligations</t>
  </si>
  <si>
    <t>Other CDO Collateralised Debt Obligations</t>
  </si>
  <si>
    <t>If [Legal Entity Type] is not "Financial Vehicle Corporation (FVC)", then [Securitisation Declaration] must be blank.</t>
  </si>
  <si>
    <t>If [Legal Entity Type] is not "Financial Vehicle Corporation (FVC)", then [Private or Public Securitisation] must be blank.</t>
  </si>
  <si>
    <t>If [Legal Entity Type] is not "Financial Vehicle Corporation (FVC)", then [Nature of Securitisation] must be blank.</t>
  </si>
  <si>
    <t>If [Legal Entity Type] is not "Financial Vehicle Corporation (FVC)", then [Nature of Securitisation - Description] must be blank.</t>
  </si>
  <si>
    <t>If [Legal Entity Type] is not "Financial Vehicle Corporation (FVC)", then [Has Securitisation been reported to a Securitisation Repository (SR) ?] must be blank.</t>
  </si>
  <si>
    <t>If [Legal Entity Type] is not "Financial Vehicle Corporation (FVC)", then [Name of Securitisation Repository] must be blank.</t>
  </si>
  <si>
    <t>If [Legal Entity Type] is not "Financial Vehicle Corporation (FVC)", then [Underlying Exposure Classification] must be blank.</t>
  </si>
  <si>
    <t>If [Legal Entity Type] is not "Financial Vehicle Corporation (FVC)", then [MIV - Multi-Issuance Vehicle - Declaration] must be blank.</t>
  </si>
  <si>
    <t>If [Orphan Structure] is "Yes", then [Consolidation] must be "No".</t>
  </si>
  <si>
    <t>Institution Name</t>
  </si>
  <si>
    <t>Central Bank Institution Number</t>
  </si>
  <si>
    <t>Q.1 Subject to EU SECR Reg (2017/2402)</t>
  </si>
  <si>
    <t>Q.2 Securitisation uses STS designation</t>
  </si>
  <si>
    <t>Q.3 Confirm transparency requirements as per Art 7</t>
  </si>
  <si>
    <t>Q.4 Confirm designated entity under Art 7(2)</t>
  </si>
  <si>
    <t>Q.5 Confirm risk retention requirement as per Art 6</t>
  </si>
  <si>
    <t>Q.5.1 Form of risk retention as per Art 6(3)</t>
  </si>
  <si>
    <t>Q.6 Compliant with ban on resecuritisation under Art 8</t>
  </si>
  <si>
    <t>Q.7 Confirm same credit granting requirements</t>
  </si>
  <si>
    <t>Q.8 Confirm credit granting req 3rd party Art 9(3)</t>
  </si>
  <si>
    <t>Issuer of Debt securities held</t>
  </si>
  <si>
    <t>Designated Originator as per SECR</t>
  </si>
  <si>
    <t>Other Asset Originator</t>
  </si>
  <si>
    <t>SPE Sponsor(s)</t>
  </si>
  <si>
    <t>SPE Intermediaries</t>
  </si>
  <si>
    <t>Consolidator</t>
  </si>
  <si>
    <t>Non-Consolidated Interest(s)</t>
  </si>
  <si>
    <t>Guarantor(s)</t>
  </si>
  <si>
    <t>CRO</t>
  </si>
  <si>
    <t>LEI</t>
  </si>
  <si>
    <t>Other Identifier Name</t>
  </si>
  <si>
    <t>Other Identifier Value</t>
  </si>
  <si>
    <t>Loan originator – as per Art 2(3a)</t>
  </si>
  <si>
    <t>Yes/No</t>
  </si>
  <si>
    <t>Vehicle Activity - FVC</t>
  </si>
  <si>
    <t>Vehicle Activity - SPV</t>
  </si>
  <si>
    <t>Currency</t>
  </si>
  <si>
    <t>Location of Exchange where listed</t>
  </si>
  <si>
    <t>Does this SPE issue debt securities?</t>
  </si>
  <si>
    <t>Is this SPE-issued debt listed?</t>
  </si>
  <si>
    <t>UY_RUT_CD</t>
  </si>
  <si>
    <t>US_EIN_CD</t>
  </si>
  <si>
    <t>US_DSFN_CD</t>
  </si>
  <si>
    <t>US_CIK_CD</t>
  </si>
  <si>
    <t>TW_TAX_CD</t>
  </si>
  <si>
    <t>TR_VKN_CD</t>
  </si>
  <si>
    <t>TH_NBR_CD</t>
  </si>
  <si>
    <t>SM_COE_CD</t>
  </si>
  <si>
    <t>SK_IBD_CD</t>
  </si>
  <si>
    <t>SK_IF_CD</t>
  </si>
  <si>
    <t>SK_ICO_CD</t>
  </si>
  <si>
    <t>SI_MAT_CD</t>
  </si>
  <si>
    <t>SI_DDV_CD</t>
  </si>
  <si>
    <t>SI_DAV_CD</t>
  </si>
  <si>
    <t>SG_ROB_CD</t>
  </si>
  <si>
    <t>SE_ORG_CD</t>
  </si>
  <si>
    <t>SE_NOTAP_CD</t>
  </si>
  <si>
    <t>SE_MOM_CD</t>
  </si>
  <si>
    <t>SE_FIN_CD</t>
  </si>
  <si>
    <t>RU_OGRN_CD</t>
  </si>
  <si>
    <t>RU_INN_CD</t>
  </si>
  <si>
    <t>RS_PIB_CD</t>
  </si>
  <si>
    <t>RS_MB_CD</t>
  </si>
  <si>
    <t>RO_TRN_CD</t>
  </si>
  <si>
    <t>RO_TAX_CD</t>
  </si>
  <si>
    <t>RO_CUI_CD</t>
  </si>
  <si>
    <t>PT_NIF_CD</t>
  </si>
  <si>
    <t>PT_IF_CD</t>
  </si>
  <si>
    <t>PT_FSA_CD</t>
  </si>
  <si>
    <t>PT_ASF_CD</t>
  </si>
  <si>
    <t>PL_VAT_CD</t>
  </si>
  <si>
    <t>PL_REGON_CD</t>
  </si>
  <si>
    <t>PL_NIP_CD</t>
  </si>
  <si>
    <t>PL_KRS_CD</t>
  </si>
  <si>
    <t>PE_RUC_CD</t>
  </si>
  <si>
    <t>PA_RUC_CD</t>
  </si>
  <si>
    <t>NO_NBR_CD</t>
  </si>
  <si>
    <t>NL_RSIN_CD</t>
  </si>
  <si>
    <t>NL_KVK_CD</t>
  </si>
  <si>
    <t>NC_NBR_CD</t>
  </si>
  <si>
    <t>MY_CRN_CD</t>
  </si>
  <si>
    <t>MX_RFC_CD</t>
  </si>
  <si>
    <t>MT_VAT_CD</t>
  </si>
  <si>
    <t>MT_OLE_CD</t>
  </si>
  <si>
    <t>MT_CNUM_CD</t>
  </si>
  <si>
    <t>MH_NBR_CD</t>
  </si>
  <si>
    <t>MC_RCI_CD</t>
  </si>
  <si>
    <t>MC_NIS_CD</t>
  </si>
  <si>
    <t>MC_CIB</t>
  </si>
  <si>
    <t>LV_VAT_CD</t>
  </si>
  <si>
    <t>LV_NBR_CD</t>
  </si>
  <si>
    <t>LV_FON_CD</t>
  </si>
  <si>
    <t>LU_VAT_CD</t>
  </si>
  <si>
    <t>LU_RCS_CD</t>
  </si>
  <si>
    <t>LU_NOTAP_CD</t>
  </si>
  <si>
    <t>LU_IF_CD</t>
  </si>
  <si>
    <t>LT_JAR_CD</t>
  </si>
  <si>
    <t>LT_INV_CD</t>
  </si>
  <si>
    <t>LI_FL_CD</t>
  </si>
  <si>
    <t>KR_TIN_CD</t>
  </si>
  <si>
    <t>JP_CN_CD</t>
  </si>
  <si>
    <t>JE_TAX_CD</t>
  </si>
  <si>
    <t>IT_UCITS_CD</t>
  </si>
  <si>
    <t>IT_CF_CD</t>
  </si>
  <si>
    <t>IT_CCIAA_CD</t>
  </si>
  <si>
    <t>IN_PAN_CD</t>
  </si>
  <si>
    <t>IN_CIN_CD</t>
  </si>
  <si>
    <t>IM_TAX_CD</t>
  </si>
  <si>
    <t>IM_RN_CD</t>
  </si>
  <si>
    <t>IL_TAX_CD</t>
  </si>
  <si>
    <t>IE_VAT_CD</t>
  </si>
  <si>
    <t>IE_NOTAP_CD</t>
  </si>
  <si>
    <t>IE_GOV_CD</t>
  </si>
  <si>
    <t>IE_CRO_CD</t>
  </si>
  <si>
    <t>ID_NPWP_CD</t>
  </si>
  <si>
    <t>HU_TOR_CD</t>
  </si>
  <si>
    <t>HU_KOZ_CD</t>
  </si>
  <si>
    <t>HU_FB_CD</t>
  </si>
  <si>
    <t>HU_CEG_CD</t>
  </si>
  <si>
    <t>HR_OIB_CD</t>
  </si>
  <si>
    <t>HR_MBS_CD</t>
  </si>
  <si>
    <t>HR_MB_CD</t>
  </si>
  <si>
    <t>HK_CR_CD</t>
  </si>
  <si>
    <t>GR_IMO_CD</t>
  </si>
  <si>
    <t>GR_AFM_CD</t>
  </si>
  <si>
    <t>GG_RN_CD</t>
  </si>
  <si>
    <t>GEN_VAT_CD</t>
  </si>
  <si>
    <t>GEN_TRD_RGSTR_ENTTY_CD</t>
  </si>
  <si>
    <t>GEN_TAX_CD</t>
  </si>
  <si>
    <t>GEN_PS_CD</t>
  </si>
  <si>
    <t>GEN_OTHER_CD</t>
  </si>
  <si>
    <t>GEN_NSI_ENTTY_CD</t>
  </si>
  <si>
    <t>GEN_NSA_ENTTY_CD</t>
  </si>
  <si>
    <t>GEN_NOTAP_CD</t>
  </si>
  <si>
    <t>GEN_NCB_ENTTY_CD</t>
  </si>
  <si>
    <t>GEN_NBR_ENTTY_CD</t>
  </si>
  <si>
    <t>GEN_IPF_CD</t>
  </si>
  <si>
    <t>GB_VAT_CD</t>
  </si>
  <si>
    <t>GB_UTR_CD</t>
  </si>
  <si>
    <t>GB_FSR_CD</t>
  </si>
  <si>
    <t>GB_CRN_CD</t>
  </si>
  <si>
    <t>FR_SIREN_CD</t>
  </si>
  <si>
    <t>FR_RNA_CD</t>
  </si>
  <si>
    <t>FR_IF_CD</t>
  </si>
  <si>
    <t>FR_CIB</t>
  </si>
  <si>
    <t>FI_Y_CD</t>
  </si>
  <si>
    <t>FI_SIRA_CD</t>
  </si>
  <si>
    <t>FI_NOTAP_CD</t>
  </si>
  <si>
    <t>FI_ALV_CD</t>
  </si>
  <si>
    <t>ES_NIF_CD</t>
  </si>
  <si>
    <t>EE_RG_CD</t>
  </si>
  <si>
    <t>EE_FON_CD</t>
  </si>
  <si>
    <t>EC_RUC_CD</t>
  </si>
  <si>
    <t>DK_SE_CD</t>
  </si>
  <si>
    <t>DK_NOTAP_CD</t>
  </si>
  <si>
    <t>DK_FT_CD</t>
  </si>
  <si>
    <t>DK_CVR_CD</t>
  </si>
  <si>
    <t>DE_PS_CD</t>
  </si>
  <si>
    <t>DE_VAT_CD</t>
  </si>
  <si>
    <t>DE_TRD_RGSTR_CD</t>
  </si>
  <si>
    <t>DE_TAX_CD</t>
  </si>
  <si>
    <t>DE_NOTAP_CD</t>
  </si>
  <si>
    <t>CZ_NID_CD</t>
  </si>
  <si>
    <t>CZ_ICO_CD</t>
  </si>
  <si>
    <t>CY_VAT_CD</t>
  </si>
  <si>
    <t>CY_TIC_CD</t>
  </si>
  <si>
    <t>CY_PF_CD</t>
  </si>
  <si>
    <t>CY_OTHER_CD</t>
  </si>
  <si>
    <t>CY_IF_CD</t>
  </si>
  <si>
    <t>CY_GG_CD</t>
  </si>
  <si>
    <t>CY_DRCOR_CD</t>
  </si>
  <si>
    <t>CY_CBCID_CD</t>
  </si>
  <si>
    <t>CO_NIT_CD</t>
  </si>
  <si>
    <t>CN_CC_CD</t>
  </si>
  <si>
    <t>CL_RUT_CD</t>
  </si>
  <si>
    <t>CH_UID_CD</t>
  </si>
  <si>
    <t>CH_NUMMER</t>
  </si>
  <si>
    <t>CH_ID_CD</t>
  </si>
  <si>
    <t>CA_REG_ID_CD</t>
  </si>
  <si>
    <t>CA_BN_CD</t>
  </si>
  <si>
    <t>BZ_TIN_CD</t>
  </si>
  <si>
    <t>BY_NBR_CD</t>
  </si>
  <si>
    <t>BS_NBR_CD</t>
  </si>
  <si>
    <t>BR_CNPJ_CD</t>
  </si>
  <si>
    <t>BM_RN_CD</t>
  </si>
  <si>
    <t>BG_VAT_CD</t>
  </si>
  <si>
    <t>BG_UIC_CD</t>
  </si>
  <si>
    <t>BG_BULSTAT_CD</t>
  </si>
  <si>
    <t>BE_OND_CD</t>
  </si>
  <si>
    <t>BA_PIB_CD</t>
  </si>
  <si>
    <t>BA_MBS_CD</t>
  </si>
  <si>
    <t>BA_JIB_CD</t>
  </si>
  <si>
    <t>AU_ACN_CD</t>
  </si>
  <si>
    <t>AU_ABN_CD</t>
  </si>
  <si>
    <t>AT_ZVR_CD</t>
  </si>
  <si>
    <t>AT_NOTAP_CD</t>
  </si>
  <si>
    <t>AT_LAE_CD</t>
  </si>
  <si>
    <t>AT_IDENT_CD</t>
  </si>
  <si>
    <t>AT_GEM_CD</t>
  </si>
  <si>
    <t>AT_FB_CD</t>
  </si>
  <si>
    <t>AR_CUIT_CD</t>
  </si>
  <si>
    <t>AE_BL_CD</t>
  </si>
  <si>
    <t>Institution Number</t>
  </si>
  <si>
    <t>Return Status</t>
  </si>
  <si>
    <t>Worksheet</t>
  </si>
  <si>
    <t>Error Count</t>
  </si>
  <si>
    <t>Status</t>
  </si>
  <si>
    <t>lis_VehicleActivityFVC</t>
  </si>
  <si>
    <t>lis_VehicleActivitySPV</t>
  </si>
  <si>
    <t>Vehicle Activity - Active List</t>
  </si>
  <si>
    <t>Institution Connection Role</t>
  </si>
  <si>
    <t>County</t>
  </si>
  <si>
    <t>Eircode</t>
  </si>
  <si>
    <t>AddressLine1 - Street</t>
  </si>
  <si>
    <t>If [Is this SPE-issued debt listed?] is "Yes", then [Location of Exchange where listed] must not be blank.</t>
  </si>
  <si>
    <t>If [Legal Entity Type] is not "Financial Vehicle Corporation (FVC)", then [Number of Tranches] must be blank.</t>
  </si>
  <si>
    <t>Validations</t>
  </si>
  <si>
    <t>[Purpose of filing] must not be blank.</t>
  </si>
  <si>
    <t>[Legal Entity Type] must not be blank.</t>
  </si>
  <si>
    <t>[Institution Name] must not be blank.</t>
  </si>
  <si>
    <t>[Company Type] must not be blank.</t>
  </si>
  <si>
    <t>[Registered Office of Vehicle - Floor, Building] must not be blank.</t>
  </si>
  <si>
    <t>[County] must not be blank.</t>
  </si>
  <si>
    <t>[Eircode] must not be blank.</t>
  </si>
  <si>
    <t>[Please confirm if this company has undertaken or will undertake Schedule 2 business activities* as referenced in CJA 2010-2022.] must not be blank.</t>
  </si>
  <si>
    <t>[Has the company been registered with the Central Bank as a Schedule 2 firm?] must not be blank.</t>
  </si>
  <si>
    <t>[Section 110 Declaration] must not be blank.</t>
  </si>
  <si>
    <t>[Vehicle Activity] must not be blank.</t>
  </si>
  <si>
    <t>[Expected FTEs] must not be blank.</t>
  </si>
  <si>
    <t>[Vehicle Currency] must not be blank.</t>
  </si>
  <si>
    <t>[Multi-Vehicle Structure] must not be blank.</t>
  </si>
  <si>
    <t>[Originator of Assets - Single or Multiple] must not be blank.</t>
  </si>
  <si>
    <t>[Does this SPE issue debt securities?] must not be blank.</t>
  </si>
  <si>
    <t>If [Legal Entity Type] is "Financial Vehicle Corporation (FVC)", then [Q.1 Subject to EU SECR Reg (2017/2402)] must not be blank.</t>
  </si>
  <si>
    <t>If [Legal Entity Type] is "Financial Vehicle Corporation (FVC)", then [Q.2 Securitisation uses STS designation] must not be blank.</t>
  </si>
  <si>
    <t>If [Legal Entity Type] is "Financial Vehicle Corporation (FVC)", then [Q.3 Confirm transparency requirements as per Art 7] must not be blank.</t>
  </si>
  <si>
    <t>If [Legal Entity Type] is "Financial Vehicle Corporation (FVC)", then [Q.5 Confirm risk retention requirement as per Art 6] must not be blank.</t>
  </si>
  <si>
    <t>If [Legal Entity Type] is "Financial Vehicle Corporation (FVC)", then [Q.6 Compliant with ban on resecuritisation under Art 8] must not be blank.</t>
  </si>
  <si>
    <t>If [Legal Entity Type] is "Financial Vehicle Corporation (FVC)", then [Q.7 Confirm same credit granting requirements] must not be blank.</t>
  </si>
  <si>
    <t>If [Legal Entity Type] is "Financial Vehicle Corporation (FVC)", then [Q.8 Confirm credit granting req 3rd party Art 9(3)] must not be blank.</t>
  </si>
  <si>
    <t>[Accountancy Standard] must not be blank.</t>
  </si>
  <si>
    <t>If [Does this SPE issue debt securities?] is "Yes", then [Is this SPE-issued debt listed?] must not be blank.</t>
  </si>
  <si>
    <t>Antrim</t>
  </si>
  <si>
    <t>Armagh</t>
  </si>
  <si>
    <t>Cavan</t>
  </si>
  <si>
    <t>Carlow</t>
  </si>
  <si>
    <t>Cork</t>
  </si>
  <si>
    <t>Dublin</t>
  </si>
  <si>
    <t>Derry</t>
  </si>
  <si>
    <t>Donegal</t>
  </si>
  <si>
    <t>Fermanagh</t>
  </si>
  <si>
    <t>Galway</t>
  </si>
  <si>
    <t>Clare</t>
  </si>
  <si>
    <t>Kerry</t>
  </si>
  <si>
    <t>Leitrim</t>
  </si>
  <si>
    <t>Longford</t>
  </si>
  <si>
    <t>Monaghan</t>
  </si>
  <si>
    <t>Meath</t>
  </si>
  <si>
    <t>Louth</t>
  </si>
  <si>
    <t>Sligo</t>
  </si>
  <si>
    <t>Tipperary</t>
  </si>
  <si>
    <t>Tyrone</t>
  </si>
  <si>
    <t>Westmeath</t>
  </si>
  <si>
    <t>Wicklow</t>
  </si>
  <si>
    <t>Waterford</t>
  </si>
  <si>
    <t>Down</t>
  </si>
  <si>
    <t>Limerick</t>
  </si>
  <si>
    <t>Kilkenny</t>
  </si>
  <si>
    <t>Wexford</t>
  </si>
  <si>
    <t>Loais</t>
  </si>
  <si>
    <t>Kildare</t>
  </si>
  <si>
    <t>Roscommon</t>
  </si>
  <si>
    <t>Offaly</t>
  </si>
  <si>
    <t>Mayo</t>
  </si>
  <si>
    <t>SecRep B.V.</t>
  </si>
  <si>
    <t>European DataWarehouse GmbH</t>
  </si>
  <si>
    <t>On the "InstitutionConnections" table, the [Institution Connection Role] column must contain at least one "SPE Sponsor(s)" value.</t>
  </si>
  <si>
    <t>Third party purchaser – as per Art 2(3b)</t>
  </si>
  <si>
    <t>Institution Connection Role
Institution Name</t>
  </si>
  <si>
    <t>Institution Connection Role
Country</t>
  </si>
  <si>
    <t>Institution Connection Role
Sector</t>
  </si>
  <si>
    <t>If [Institution Connection Role] is "SPE Sponsor(s)", then [Institution Name] must not be blank.</t>
  </si>
  <si>
    <t>If [Institution Connection Role] is "SPE Sponsor(s)", then [Country] must not be blank.</t>
  </si>
  <si>
    <t>If [Institution Connection Role] is "SPE Sponsor(s)", then [Sector] must not be blank.</t>
  </si>
  <si>
    <t>If [Institution Connection Role] is "Issuer of Debt securities held", then [Institution Name] must not be blank.</t>
  </si>
  <si>
    <t>If [Institution Connection Role] is "Issuer of Debt securities held", then [Country] must not be blank.</t>
  </si>
  <si>
    <t>If [Institution Connection Role] is "Issuer of Debt securities held", then [Sector] must not be blank.</t>
  </si>
  <si>
    <t>If [Institution Connection Role] is "Loan originator – as per Art 2(3a)", then [Institution Name] must not be blank.</t>
  </si>
  <si>
    <t>If [Institution Connection Role] is "Loan originator – as per Art 2(3a)", then [Country] must not be blank.</t>
  </si>
  <si>
    <t>If [Institution Connection Role] is "Loan originator – as per Art 2(3a)", then [Sector] must not be blank.</t>
  </si>
  <si>
    <t>If [Institution Connection Role] is "Third party purchaser – as per Art 2(3b)", then [Institution Name] must not be blank.</t>
  </si>
  <si>
    <t>If [Institution Connection Role] is "Third party purchaser – as per Art 2(3b)", then [Country] must not be blank.</t>
  </si>
  <si>
    <t>If [Institution Connection Role] is "Third party purchaser – as per Art 2(3b)", then [Sector] must not be blank.</t>
  </si>
  <si>
    <t>If [Institution Connection Role] is "Other Asset Originator", then [Institution Name] must not be blank.</t>
  </si>
  <si>
    <t>If [Institution Connection Role] is "Other Asset Originator", then [Country] must not be blank.</t>
  </si>
  <si>
    <t>If [Institution Connection Role] is "Other Asset Originator", then [Sector] must not be blank.</t>
  </si>
  <si>
    <t>If [Institution Connection Role] is "Consolidator", then [Institution Name] must not be blank.</t>
  </si>
  <si>
    <t>If [Institution Connection Role] is "Consolidator", then [Country] must not be blank.</t>
  </si>
  <si>
    <t>If [Institution Connection Role] is "Consolidator", then [Sector] must not be blank.</t>
  </si>
  <si>
    <t>If [Institution Connection Role] is "Non-Consolidated Interest(s)", then [Institution Name] must not be blank.</t>
  </si>
  <si>
    <t>If [Institution Connection Role] is "Non-Consolidated Interest(s)", then [Country] must not be blank.</t>
  </si>
  <si>
    <t>If [Institution Connection Role] is "Non-Consolidated Interest(s)", then [Sector] must not be blank.</t>
  </si>
  <si>
    <t>If [Institution Connection Role] is "Guarantor(s)", then [Institution Name] must not be blank.</t>
  </si>
  <si>
    <t>If [Institution Connection Role] is "Guarantor(s)", then [Country] must not be blank.</t>
  </si>
  <si>
    <t>If [Institution Connection Role] is "Guarantor(s)", then [Sector] must not be blank.</t>
  </si>
  <si>
    <t>If [Institution Connection Role] is "SPE Sponsor(s)" and [Country] is "IE - Ireland", then [CRO] must not be blank.</t>
  </si>
  <si>
    <t>If [Institution Connection Role] is "Issuer of Debt securities held" and [Country] is "IE - Ireland", then [CRO] must not be blank.</t>
  </si>
  <si>
    <t>If [Institution Connection Role] is "Loan originator – as per Art 2(3a)" and [Country] is "IE - Ireland", then [CRO] must not be blank.</t>
  </si>
  <si>
    <t>If [Institution Connection Role] is "Third party purchaser – as per Art 2(3b)" and [Country] is "IE - Ireland", then [CRO] must not be blank.</t>
  </si>
  <si>
    <t>If [Institution Connection Role] is "Other Asset Originator" and [Country] is "IE - Ireland", then [CRO] must not be blank.</t>
  </si>
  <si>
    <t>If [Institution Connection Role] is "SPE Intermediaries" and [Country] is "IE - Ireland", then [CRO] must not be blank.</t>
  </si>
  <si>
    <t>If [Institution Connection Role] is "Consolidator" and [Country] is "IE - Ireland", then [CRO] must not be blank.</t>
  </si>
  <si>
    <t>If [Institution Connection Role] is "Non-Consolidated Interest(s)" and [Country] is "IE - Ireland", then [CRO] must not be blank.</t>
  </si>
  <si>
    <t>If [Institution Connection Role] is "Guarantor(s)" and [Country] is "IE - Ireland", then [CRO] must not be blank.</t>
  </si>
  <si>
    <t>If [Institution Connection Role] is "SPE Intermediaries", then [Sector] must not be blank.</t>
  </si>
  <si>
    <t>If [Institution Connection Role] is "SPE Intermediaries", then [Institution Name] must not be blank.</t>
  </si>
  <si>
    <t>If [Institution Connection Role] is "SPE Intermediaries", then [Country] must not be blank.</t>
  </si>
  <si>
    <t>If [Institution Connection Role] is "SPE Intermediaries", then at least one of [CRO], [LEI] or [Other Identifier Name] must not be blank.</t>
  </si>
  <si>
    <t>Institution Connection Role
CRO
LEI
Other Identifier Name</t>
  </si>
  <si>
    <t>If [Institution Connection Role] is "Consolidator", then at least one of [CRO], [LEI] or [Other Identifier Name] must not be blank.</t>
  </si>
  <si>
    <t>If [Institution Connection Role] is "Non-Consolidated Interest(s)", then at least one of [CRO], [LEI] or [Other Identifier Name] must not be blank.</t>
  </si>
  <si>
    <t>If [Institution Connection Role] is "Guarantor(s)", then at least one of [CRO], [LEI] or [Other Identifier Name] must not be blank.</t>
  </si>
  <si>
    <t>If [Other Identifier Name] is not blank, then [Other Identifier Value] must not be blank.
If [Other Identifier Name] is blank, then [Other Identifier Value] must be blank.</t>
  </si>
  <si>
    <t xml:space="preserve">Other Identifier Name
Other Identifier Value
</t>
  </si>
  <si>
    <t>Return meets requirements of ALL Excel-based Validation Rules:</t>
  </si>
  <si>
    <t>If [Legal Entity Type] is "Financial Vehicle Corporation (FVC)", then [Securitisation Declaration] must not be blank.</t>
  </si>
  <si>
    <t>First Report Asset Size (millions)</t>
  </si>
  <si>
    <t>Maximum Issuance Size (millions)</t>
  </si>
  <si>
    <t xml:space="preserve">VSLC - Vertical slice - i.e. Article 6(3)(a) </t>
  </si>
  <si>
    <t xml:space="preserve">SLLS - Seller's share - i.e. Article 6(3)(b) </t>
  </si>
  <si>
    <t>RSEX - Randomly-selected exposures kept on balance sheet - i.e. Article 6(3)(c)</t>
  </si>
  <si>
    <t>FLTR - First loss tranche - i.e. Article 6(3)(d)</t>
  </si>
  <si>
    <t>FLEX - First loss exposure in each asset - i.e. Article 6(3)(e)</t>
  </si>
  <si>
    <t>If [Legal Entity Type] is "Financial Vehicle Corporation (FVC)" and [Q.5 Confirm risk retention requirement as per Art 6] is "Yes", then [Q.5.1 Form of risk retention as per Art 6(3)] must not be blank.</t>
  </si>
  <si>
    <t>If [Legal Entity Type] is "Financial Vehicle Corporation (FVC)" and [Q.2 Securitisation uses STS designation] is "Yes", then [Third-party STS Verification Agent] must not be blank.</t>
  </si>
  <si>
    <t>[Consolidation] must not be blank.</t>
  </si>
  <si>
    <t>[Non-Consolidated Interest Disclosure] must not be blank.</t>
  </si>
  <si>
    <t>Special Purpose Entity Registration</t>
  </si>
  <si>
    <t>General Details</t>
  </si>
  <si>
    <t>If [Vehicle Activity] is "Investment Fund Linked", then on the "InstitutionConnections" table, the [InstitutionConnectionRole] column must contain at least one value from
{
"Consolidator",
"Non-Consolidated Interest(s)"
}.</t>
  </si>
  <si>
    <t>If [Legal Entity Type] is "Financial Vehicle Corporation (FVC)" and [Securitisation Declaration] is "Yes", then [Private or Public Securitisation] must not be blank.</t>
  </si>
  <si>
    <t>If [Legal Entity Type] is "Financial Vehicle Corporation (FVC)" and [Securitisation Declaration] is "Yes", then [Nature of Securitisation] must not be blank.</t>
  </si>
  <si>
    <t>If [Legal Entity Type] is "Financial Vehicle Corporation (FVC)" and [Securitisation Declaration] is "Yes", then [Nature of Securitisation - Description] must not be blank.</t>
  </si>
  <si>
    <t>If [Legal Entity Type] is "Financial Vehicle Corporation (FVC)" and [Securitisation Declaration] is "Yes", then [Has Securitisation been reported to a Securitisation Repository (SR) ?] must not be blank.</t>
  </si>
  <si>
    <t>If [Legal Entity Type] is "Financial Vehicle Corporation (FVC)" and [Securitisation Declaration] is "Yes", then [Underlying Exposure Classification] must not be blank.</t>
  </si>
  <si>
    <t>If [Legal Entity Type] is "Financial Vehicle Corporation (FVC)" and [Securitisation Declaration] is "Yes", then [Number of Tranches] must not be blank.</t>
  </si>
  <si>
    <t>If [Legal Entity Type] is "Financial Vehicle Corporation (FVC)" and [Securitisation Declaration] is "Yes" and [Has Securitisation been reported to a Securitisation Repository (SR) ?] is "Yes", then [Name of Securitisation Repository] must not be blank.</t>
  </si>
  <si>
    <t>SMEL - Small and Medium Enterprise Loans</t>
  </si>
  <si>
    <t>NSML - Non Small and Medium Enterprise Corporate</t>
  </si>
  <si>
    <t>If [Legal Entity Type] is "Financial Vehicle Corporation (FVC)" and [Q.3 Confirm transparency requirements as per Art 7] is "Yes", then [Q.4 Confirm designated entity under Art 7(2)] must not be blank.</t>
  </si>
  <si>
    <t>If [Q.1 Subject to EU SECR Reg (2017/2402)] is "Yes", then on the "InstitutionConnections" table, the [Institution Connection Role] column must contain at least one value from
{
"Third party purchaser – as per Art 2(3b)",
"Loan originator – as per Art 2(3a)"
}</t>
  </si>
  <si>
    <t>Y14</t>
  </si>
  <si>
    <t>Arklow</t>
  </si>
  <si>
    <t>A84</t>
  </si>
  <si>
    <t>Ashbourne</t>
  </si>
  <si>
    <t>H65</t>
  </si>
  <si>
    <t>Athenry</t>
  </si>
  <si>
    <t>N37</t>
  </si>
  <si>
    <t>Athlone</t>
  </si>
  <si>
    <t>R14</t>
  </si>
  <si>
    <t>Athy</t>
  </si>
  <si>
    <t>K32</t>
  </si>
  <si>
    <t>Balbriggan</t>
  </si>
  <si>
    <t>F26</t>
  </si>
  <si>
    <t>Ballina</t>
  </si>
  <si>
    <t>H53</t>
  </si>
  <si>
    <t>Ballinasloe</t>
  </si>
  <si>
    <t>P31</t>
  </si>
  <si>
    <t>Ballincollig</t>
  </si>
  <si>
    <t>F31</t>
  </si>
  <si>
    <t>Ballinrobe</t>
  </si>
  <si>
    <t>A41</t>
  </si>
  <si>
    <t>Ballyboughal</t>
  </si>
  <si>
    <t>F35</t>
  </si>
  <si>
    <t>Ballyhaunis</t>
  </si>
  <si>
    <t>F56</t>
  </si>
  <si>
    <t>Ballymote</t>
  </si>
  <si>
    <t>P72</t>
  </si>
  <si>
    <t>Bandon</t>
  </si>
  <si>
    <t>P75</t>
  </si>
  <si>
    <t>Bantry</t>
  </si>
  <si>
    <t>H14</t>
  </si>
  <si>
    <t>Belturbet</t>
  </si>
  <si>
    <t>R42</t>
  </si>
  <si>
    <t>Birr</t>
  </si>
  <si>
    <t>A94</t>
  </si>
  <si>
    <t>Blackrock</t>
  </si>
  <si>
    <t>F52</t>
  </si>
  <si>
    <t>Boyle</t>
  </si>
  <si>
    <t>A98</t>
  </si>
  <si>
    <t>Bray</t>
  </si>
  <si>
    <t>V23</t>
  </si>
  <si>
    <t>Caherciveen</t>
  </si>
  <si>
    <t>E21</t>
  </si>
  <si>
    <t>Cahir</t>
  </si>
  <si>
    <t>R93</t>
  </si>
  <si>
    <t>A81</t>
  </si>
  <si>
    <t>Carrickmacross</t>
  </si>
  <si>
    <t>N41</t>
  </si>
  <si>
    <t>Carrick-On-Shannon</t>
  </si>
  <si>
    <t>E32</t>
  </si>
  <si>
    <t>Carrick-On-Suir</t>
  </si>
  <si>
    <t>P43</t>
  </si>
  <si>
    <t>Carrigaline</t>
  </si>
  <si>
    <t>E25</t>
  </si>
  <si>
    <t>Cashel</t>
  </si>
  <si>
    <t>F23</t>
  </si>
  <si>
    <t>Castlebar</t>
  </si>
  <si>
    <t>A75</t>
  </si>
  <si>
    <t>Castleblayney</t>
  </si>
  <si>
    <t>F45</t>
  </si>
  <si>
    <t>Castlerea</t>
  </si>
  <si>
    <t>H12</t>
  </si>
  <si>
    <t>P56</t>
  </si>
  <si>
    <t>Charleville</t>
  </si>
  <si>
    <t>F12</t>
  </si>
  <si>
    <t>Claremorris</t>
  </si>
  <si>
    <t>H71</t>
  </si>
  <si>
    <t>Clifden</t>
  </si>
  <si>
    <t>P85</t>
  </si>
  <si>
    <t>Clonakilty</t>
  </si>
  <si>
    <t>H23</t>
  </si>
  <si>
    <t>Clones</t>
  </si>
  <si>
    <t>E91</t>
  </si>
  <si>
    <t>Clonmel</t>
  </si>
  <si>
    <t>P24</t>
  </si>
  <si>
    <t>Cobh</t>
  </si>
  <si>
    <t>H16</t>
  </si>
  <si>
    <t>Cootehill</t>
  </si>
  <si>
    <t>T12</t>
  </si>
  <si>
    <t>Cork - Ballinhassig</t>
  </si>
  <si>
    <t>T23</t>
  </si>
  <si>
    <t>Cork - Blarney</t>
  </si>
  <si>
    <t>P14</t>
  </si>
  <si>
    <t>Cork - Crookstown</t>
  </si>
  <si>
    <t>P32</t>
  </si>
  <si>
    <t>Cork - Donoughmore</t>
  </si>
  <si>
    <t>P47</t>
  </si>
  <si>
    <t>Cork - Dunmanway</t>
  </si>
  <si>
    <t>T56</t>
  </si>
  <si>
    <t>Cork - Watergrasshill</t>
  </si>
  <si>
    <t>T34</t>
  </si>
  <si>
    <t>Cork - Whitechurch</t>
  </si>
  <si>
    <t>R56</t>
  </si>
  <si>
    <t>Curragh Camp</t>
  </si>
  <si>
    <t>F94</t>
  </si>
  <si>
    <t>A92</t>
  </si>
  <si>
    <t>Drogheda</t>
  </si>
  <si>
    <t>D01</t>
  </si>
  <si>
    <t>Dublin 1</t>
  </si>
  <si>
    <t>D02</t>
  </si>
  <si>
    <t>Dublin 2</t>
  </si>
  <si>
    <t>D03</t>
  </si>
  <si>
    <t>Dublin 3</t>
  </si>
  <si>
    <t>D04</t>
  </si>
  <si>
    <t>Dublin 4</t>
  </si>
  <si>
    <t>D05</t>
  </si>
  <si>
    <t>Dublin 5</t>
  </si>
  <si>
    <t>D06</t>
  </si>
  <si>
    <t>Dublin 6</t>
  </si>
  <si>
    <t>D6W</t>
  </si>
  <si>
    <t>Dublin 6W</t>
  </si>
  <si>
    <t>D07</t>
  </si>
  <si>
    <t>Dublin 7</t>
  </si>
  <si>
    <t>D08</t>
  </si>
  <si>
    <t>Dublin 8</t>
  </si>
  <si>
    <t>D09</t>
  </si>
  <si>
    <t>Dublin 9</t>
  </si>
  <si>
    <t>D10</t>
  </si>
  <si>
    <t>Dublin 10</t>
  </si>
  <si>
    <t>D11</t>
  </si>
  <si>
    <t>Dublin 11</t>
  </si>
  <si>
    <t>D12</t>
  </si>
  <si>
    <t>Dublin 12</t>
  </si>
  <si>
    <t>D13</t>
  </si>
  <si>
    <t>Dublin 13</t>
  </si>
  <si>
    <t>D14</t>
  </si>
  <si>
    <t>Dublin 14</t>
  </si>
  <si>
    <t>D15</t>
  </si>
  <si>
    <t>Dublin 15</t>
  </si>
  <si>
    <t>D16</t>
  </si>
  <si>
    <t>Dublin 16</t>
  </si>
  <si>
    <t>D17</t>
  </si>
  <si>
    <t>Dublin 17</t>
  </si>
  <si>
    <t>D18</t>
  </si>
  <si>
    <t>Dublin 18</t>
  </si>
  <si>
    <t>D20</t>
  </si>
  <si>
    <t>Dublin 20</t>
  </si>
  <si>
    <t>D22</t>
  </si>
  <si>
    <t>Dublin 22</t>
  </si>
  <si>
    <t>D24</t>
  </si>
  <si>
    <t>Dublin 24</t>
  </si>
  <si>
    <t>A86</t>
  </si>
  <si>
    <t>Dunboyne</t>
  </si>
  <si>
    <t>A91</t>
  </si>
  <si>
    <t>Dundalk</t>
  </si>
  <si>
    <t>X35</t>
  </si>
  <si>
    <t>Dungarvan</t>
  </si>
  <si>
    <t>A85</t>
  </si>
  <si>
    <t>Dunshaughlin</t>
  </si>
  <si>
    <t>R45</t>
  </si>
  <si>
    <t>Edenderry</t>
  </si>
  <si>
    <t>A83</t>
  </si>
  <si>
    <t>Enfield</t>
  </si>
  <si>
    <t>V95</t>
  </si>
  <si>
    <t>Ennis</t>
  </si>
  <si>
    <t>Y21</t>
  </si>
  <si>
    <t>Enniscorthy</t>
  </si>
  <si>
    <t>P61</t>
  </si>
  <si>
    <t>Fermoy</t>
  </si>
  <si>
    <t>H91</t>
  </si>
  <si>
    <t>A42</t>
  </si>
  <si>
    <t>Garristown</t>
  </si>
  <si>
    <t>A96</t>
  </si>
  <si>
    <t>Glenageary</t>
  </si>
  <si>
    <t>Y25</t>
  </si>
  <si>
    <t>Gorey</t>
  </si>
  <si>
    <t>A63</t>
  </si>
  <si>
    <t>Greystones</t>
  </si>
  <si>
    <t>A82</t>
  </si>
  <si>
    <t>Kells</t>
  </si>
  <si>
    <t>R51</t>
  </si>
  <si>
    <t>R95</t>
  </si>
  <si>
    <t>V93</t>
  </si>
  <si>
    <t>Killarney</t>
  </si>
  <si>
    <t>X42</t>
  </si>
  <si>
    <t>Kilmacthomas</t>
  </si>
  <si>
    <t>V35</t>
  </si>
  <si>
    <t>Kilmallock</t>
  </si>
  <si>
    <t>V15</t>
  </si>
  <si>
    <t>Kilrush</t>
  </si>
  <si>
    <t>P17</t>
  </si>
  <si>
    <t>Kinsale</t>
  </si>
  <si>
    <t>F92</t>
  </si>
  <si>
    <t>Letterkenny</t>
  </si>
  <si>
    <t>F93</t>
  </si>
  <si>
    <t>Lifford</t>
  </si>
  <si>
    <t>V94</t>
  </si>
  <si>
    <t>V31</t>
  </si>
  <si>
    <t>Listowel</t>
  </si>
  <si>
    <t>T45</t>
  </si>
  <si>
    <t>Little Island</t>
  </si>
  <si>
    <t>N39</t>
  </si>
  <si>
    <t>H62</t>
  </si>
  <si>
    <t>Loughrea</t>
  </si>
  <si>
    <t>K78</t>
  </si>
  <si>
    <t>Lucan</t>
  </si>
  <si>
    <t>K45</t>
  </si>
  <si>
    <t>Lusk</t>
  </si>
  <si>
    <t>P12</t>
  </si>
  <si>
    <t>Macroom</t>
  </si>
  <si>
    <t>K36</t>
  </si>
  <si>
    <t>Malahide</t>
  </si>
  <si>
    <t>P51</t>
  </si>
  <si>
    <t>Mallow</t>
  </si>
  <si>
    <t>W23</t>
  </si>
  <si>
    <t>Maynooth</t>
  </si>
  <si>
    <t>P25</t>
  </si>
  <si>
    <t>Midleton</t>
  </si>
  <si>
    <t>P67</t>
  </si>
  <si>
    <t>Mitchelstown</t>
  </si>
  <si>
    <t>H18</t>
  </si>
  <si>
    <t>W34</t>
  </si>
  <si>
    <t>Monasterevin</t>
  </si>
  <si>
    <t>R21</t>
  </si>
  <si>
    <t>Muine Bheag</t>
  </si>
  <si>
    <t>N91</t>
  </si>
  <si>
    <t>Mullingar</t>
  </si>
  <si>
    <t>W91</t>
  </si>
  <si>
    <t>Naas</t>
  </si>
  <si>
    <t>C15</t>
  </si>
  <si>
    <t>Navan</t>
  </si>
  <si>
    <t>E45</t>
  </si>
  <si>
    <t>Nenagh</t>
  </si>
  <si>
    <t>Y34</t>
  </si>
  <si>
    <t>New Ross</t>
  </si>
  <si>
    <t>W12</t>
  </si>
  <si>
    <t>Newbridge</t>
  </si>
  <si>
    <t>V42</t>
  </si>
  <si>
    <t>Newcastle West</t>
  </si>
  <si>
    <t>A45</t>
  </si>
  <si>
    <t>Oldtown</t>
  </si>
  <si>
    <t>R32</t>
  </si>
  <si>
    <t>Portlaoise</t>
  </si>
  <si>
    <t>F42</t>
  </si>
  <si>
    <t>E53</t>
  </si>
  <si>
    <t>Roscrea</t>
  </si>
  <si>
    <t>K56</t>
  </si>
  <si>
    <t>Rush</t>
  </si>
  <si>
    <t>V14</t>
  </si>
  <si>
    <t>Shannon</t>
  </si>
  <si>
    <t>K34</t>
  </si>
  <si>
    <t>Skerries</t>
  </si>
  <si>
    <t>P81</t>
  </si>
  <si>
    <t>Skibbereen</t>
  </si>
  <si>
    <t>F91</t>
  </si>
  <si>
    <t>K67</t>
  </si>
  <si>
    <t>Swords</t>
  </si>
  <si>
    <t>E41</t>
  </si>
  <si>
    <t>Thurles</t>
  </si>
  <si>
    <t>E34</t>
  </si>
  <si>
    <t>V92</t>
  </si>
  <si>
    <t>Tralee</t>
  </si>
  <si>
    <t>H54</t>
  </si>
  <si>
    <t>Tuam</t>
  </si>
  <si>
    <t>R35</t>
  </si>
  <si>
    <t>Tullamore</t>
  </si>
  <si>
    <t>X91</t>
  </si>
  <si>
    <t>F28</t>
  </si>
  <si>
    <t>Westport</t>
  </si>
  <si>
    <t>Y35</t>
  </si>
  <si>
    <t>A67</t>
  </si>
  <si>
    <t>P36</t>
  </si>
  <si>
    <t>Youghal</t>
  </si>
  <si>
    <t>Debt issuance currency details</t>
  </si>
  <si>
    <t>[Debt issuance currency details] must not be blank.</t>
  </si>
  <si>
    <t>If [Does this SPE issue debt securities?] is "Yes", then [Debt issuance currency details] must be "Yes".</t>
  </si>
  <si>
    <t>General</t>
  </si>
  <si>
    <t>InstitutionConnections</t>
  </si>
  <si>
    <t>DebtIssuanceCurrency</t>
  </si>
  <si>
    <t>[D15]</t>
  </si>
  <si>
    <t>[D22]</t>
  </si>
  <si>
    <t>[D23]</t>
  </si>
  <si>
    <t>[D24]</t>
  </si>
  <si>
    <t>[D25]</t>
  </si>
  <si>
    <t>[D26]</t>
  </si>
  <si>
    <t>[D27]</t>
  </si>
  <si>
    <t>[D28]</t>
  </si>
  <si>
    <t>[D31]</t>
  </si>
  <si>
    <t>[D33]</t>
  </si>
  <si>
    <t>[D45]</t>
  </si>
  <si>
    <t>[D39]</t>
  </si>
  <si>
    <t>[D3]</t>
  </si>
  <si>
    <t>[D4]</t>
  </si>
  <si>
    <t>[D5]</t>
  </si>
  <si>
    <t>[D6]</t>
  </si>
  <si>
    <t>[D7]</t>
  </si>
  <si>
    <t>[D8]</t>
  </si>
  <si>
    <t>[D9]</t>
  </si>
  <si>
    <t>[D10]</t>
  </si>
  <si>
    <t>[D14]</t>
  </si>
  <si>
    <t>[D20]</t>
  </si>
  <si>
    <t>[D21]</t>
  </si>
  <si>
    <t>[D30]</t>
  </si>
  <si>
    <t>[D32]</t>
  </si>
  <si>
    <t>[D34]</t>
  </si>
  <si>
    <t>[D35]</t>
  </si>
  <si>
    <t>[D36]</t>
  </si>
  <si>
    <t>[D38]</t>
  </si>
  <si>
    <t>[D40]</t>
  </si>
  <si>
    <t>[D41]</t>
  </si>
  <si>
    <t>[D42]</t>
  </si>
  <si>
    <t>[D43]</t>
  </si>
  <si>
    <t>[D44]</t>
  </si>
  <si>
    <t>[D51]</t>
  </si>
  <si>
    <t>[D52]</t>
  </si>
  <si>
    <t>[D53]</t>
  </si>
  <si>
    <t>[D54]</t>
  </si>
  <si>
    <t>[D55]</t>
  </si>
  <si>
    <t>[D56]</t>
  </si>
  <si>
    <t>[D57]</t>
  </si>
  <si>
    <t>[D58]</t>
  </si>
  <si>
    <t>[D59]</t>
  </si>
  <si>
    <t>[D60]</t>
  </si>
  <si>
    <t>[D46]</t>
  </si>
  <si>
    <t>[D47]</t>
  </si>
  <si>
    <t>[D29]</t>
  </si>
  <si>
    <t>[D11]</t>
  </si>
  <si>
    <t>[D12]</t>
  </si>
  <si>
    <t>[D13]</t>
  </si>
  <si>
    <t>[D37]</t>
  </si>
  <si>
    <t>[Eircode] must be 7 characters (no space within the code e.g. D18WXYZ).</t>
  </si>
  <si>
    <t>[Eircode] must have a valid Eircode Routing Key.</t>
  </si>
  <si>
    <t>If [Debt issuance currency details] is "Yes", then on the "DebtIssuanceCurrency" table, the [Debt Issuance Currency] column must contain at least one value.</t>
  </si>
  <si>
    <t>On the "DebtIssuanceCurrency" table, the [Debt Issuance Currency] column must not contain any duplicated values.</t>
  </si>
  <si>
    <t>N/A</t>
  </si>
  <si>
    <t>The [Debt Issuance Currency] value must exist on the 'Currency' list.</t>
  </si>
  <si>
    <t>General
InstitutionConnections</t>
  </si>
  <si>
    <t>Q.1 Subject to EU SECR Reg (2017/2402)
Institution Connection Role</t>
  </si>
  <si>
    <t>Institution Connection Role
Country
CRO</t>
  </si>
  <si>
    <t>Legal Entity Type
Securitisation Declaration</t>
  </si>
  <si>
    <t>Legal Entity Type
Private or Public Securitisation</t>
  </si>
  <si>
    <t>Legal Entity Type
Securitisation Declaration
Private or Public Securitisation</t>
  </si>
  <si>
    <t>Legal Entity Type
Nature of Securitisation</t>
  </si>
  <si>
    <t>Legal Entity Type
Securitisation Declaration
Nature of Securitisation</t>
  </si>
  <si>
    <t>Legal Entity Type
Nature of Securitisation - Description</t>
  </si>
  <si>
    <t>Legal Entity Type
Has Securitisation been reported to a Securitisation Repository (SR) ?</t>
  </si>
  <si>
    <t>Legal Entity Type
Securitisation Declaration
Nature of Securitisation - Description</t>
  </si>
  <si>
    <t>Legal Entity Type
Securitisation Declaration
Has Securitisation been reported to a Securitisation Repository (SR) ?</t>
  </si>
  <si>
    <t>Legal Entity Type
Securitisation Declaration
Underlying Exposure Classification</t>
  </si>
  <si>
    <t>Legal Entity Type
Name of Securitisation Repository</t>
  </si>
  <si>
    <t>Legal Entity Type
Underlying Exposure Classification</t>
  </si>
  <si>
    <t>Legal Entity Type
MIV - Multi-Issuance Vehicle - Declaration</t>
  </si>
  <si>
    <t>Vehicle Activity
Vehicle Activity Description</t>
  </si>
  <si>
    <t>Orphan Structure
Consolidation</t>
  </si>
  <si>
    <t>Originator of Assets - Single or Multiple
InstitutionConnectionRole</t>
  </si>
  <si>
    <t>Does this SPE issue debt securities?
Debt issuance currency details</t>
  </si>
  <si>
    <t>Debt issuance currency details
Debt Issuance Currency</t>
  </si>
  <si>
    <t>[First Report Asset Size (millions)] must not be blank.</t>
  </si>
  <si>
    <t>[Maximum Issuance Size (millions)] must not be blank.</t>
  </si>
  <si>
    <t>Does this SPE issue debt securities?
Is this SPE-issued debt listed?</t>
  </si>
  <si>
    <t>Is this SPE-issued debt listed?
Location of Exchange where listed</t>
  </si>
  <si>
    <t>Legal Entity Type
Q.1 Subject to EU SECR Reg (2017/2402)</t>
  </si>
  <si>
    <t>Legal Entity Type
Q.2 Securitisation uses STS designation</t>
  </si>
  <si>
    <t>Legal Entity Type
Q.2 Securitisation uses STS designation
Third-party STS Verification Agent</t>
  </si>
  <si>
    <t>Legal Entity Type
Q.3 Confirm transparency requirements as per Art 7</t>
  </si>
  <si>
    <t>Legal Entity Type
Q.3 Confirm transparency requirements as per Art 7
Q.4 Confirm designated entity under Art 7(2)</t>
  </si>
  <si>
    <t>Legal Entity Type
Q.5 Confirm risk retention requirement as per Art 6</t>
  </si>
  <si>
    <t>Legal Entity Type
Q.5 Confirm risk retention requirement as per Art 6
Q.5.1 Form of risk retention as per Art 6(3)</t>
  </si>
  <si>
    <t>Legal Entity Type
Q.6 Compliant with ban on resecuritisation under Art 8</t>
  </si>
  <si>
    <t>Legal Entity Type
Q.7 Confirm same credit granting requirements</t>
  </si>
  <si>
    <t>Legal Entity Type
Q.8 Confirm credit granting req 3rd party Art 9(3)</t>
  </si>
  <si>
    <t>Vehicle Activity
InstitutionConnectionRole</t>
  </si>
  <si>
    <t>Legal Entity Type
Number of Tranches</t>
  </si>
  <si>
    <t>Legal Entity Type
Securitisation Declaration
Number of Tranches</t>
  </si>
  <si>
    <t>Legal Entity Type
Securitisation Declaration
Has Securitisation been reported to a Securitisation Repository (SR) ?
Name of Securitisation Repository</t>
  </si>
  <si>
    <t>The [Expected FTEs] value must be Numeric.</t>
  </si>
  <si>
    <t>The [Purpose of filing] value must exist on the 'Purpose of filing' list.</t>
  </si>
  <si>
    <t>The [Legal Entity Type] value must exist on the 'Legal Entity Type' list.</t>
  </si>
  <si>
    <t>The [Company Type] value must exist on the 'Company Type' list.</t>
  </si>
  <si>
    <t>The [Private or Public Securitisation] value must exist on the 'Private or Public Securitisation' list.</t>
  </si>
  <si>
    <t>The [Nature of Securitisation] value must exist on the 'Nature of Securitisation' list.</t>
  </si>
  <si>
    <t>The [Name of Securitisation Repository] value must exist on the 'Name of Securitisation Repository' list.</t>
  </si>
  <si>
    <t>The [Underlying Exposure Classification] value must exist on the 'Underlying Exposure Classification' list.</t>
  </si>
  <si>
    <t>The [Originator of Assets - Single or Multiple] value must exist on the 'Originator of Assets - Single or Multiple' list.</t>
  </si>
  <si>
    <t>The [Location of Exchange where listed] value must exist on the 'Location of Exchange where listed' list.</t>
  </si>
  <si>
    <t>The [Accountancy Standard] value must exist on the 'Accountancy Standard' list.</t>
  </si>
  <si>
    <t>The [Vehicle Currency] value must exist on the 'Currency' list.</t>
  </si>
  <si>
    <t>The [County] value must exist on the 'County' list.</t>
  </si>
  <si>
    <t>Eircode Routing Key</t>
  </si>
  <si>
    <t>Eircode Routing Key Description</t>
  </si>
  <si>
    <t>The first 3 characters of the [Eircode] value must exist on the 'Eircode Routing Key' list.</t>
  </si>
  <si>
    <t>The [Vehicle Activity] value must exist on the 'Vehicle Activity - FVC' or the 'Vehicle Activity - SPV' list.</t>
  </si>
  <si>
    <t>The [Please confirm if this company has undertaken or will undertake Schedule 2 business activities* as referenced in CJA 2010-2022.] value must exist on the 'Yes/No' list.</t>
  </si>
  <si>
    <t>The [Has the company been registered with the Central Bank as a Schedule 2 firm?] value must exist on the 'Yes/No' list.</t>
  </si>
  <si>
    <t>The [Securitisation Declaration] value must exist on the 'Yes/No' list.</t>
  </si>
  <si>
    <t>The [Has Securitisation been reported to a Securitisation Repository (SR) ?] value must exist on the 'Yes/No' list.</t>
  </si>
  <si>
    <t>The [Section 110 Declaration] value must exist on the 'Yes/No' list.</t>
  </si>
  <si>
    <t>The [MIV - Multi-Issuance Vehicle - Declaration] value must exist on the 'Yes/No' list.</t>
  </si>
  <si>
    <t>The [Debt issuance currency details] value must exist on the 'Yes/No' list.</t>
  </si>
  <si>
    <t>The [Orphan Structure] value must exist on the 'Yes/No' list.</t>
  </si>
  <si>
    <t>The [Multi-Vehicle Structure] value must exist on the 'Yes/No' list.</t>
  </si>
  <si>
    <t>The [Does this SPE issue debt securities?] value must exist on the 'Yes/No' list.</t>
  </si>
  <si>
    <t>The [Is this SPE-issued debt listed?] value must exist on the 'Yes/No' list.</t>
  </si>
  <si>
    <t>The [Consolidation] value must exist on the 'Yes/No' list.</t>
  </si>
  <si>
    <t>The [Non-Consolidated Interest Disclosure] value must exist on the 'Yes/No' list.</t>
  </si>
  <si>
    <t>The [Q.1 Subject to EU SECR Reg (2017/2402)] value must exist on the 'Yes/No' list.</t>
  </si>
  <si>
    <t>The [Q.2 Securitisation uses STS designation] value must exist on the 'Yes/No' list.</t>
  </si>
  <si>
    <t>The [Q.3 Confirm transparency requirements as per Art 7] value must exist on the 'Yes/No' list.</t>
  </si>
  <si>
    <t>The [Q.5 Confirm risk retention requirement as per Art 6] value must exist on the 'Yes/No' list.</t>
  </si>
  <si>
    <t>The [Q.6 Compliant with ban on resecuritisation under Art 8] value must exist on the 'Yes/No' list.</t>
  </si>
  <si>
    <t>The [Q.7 Confirm same credit granting requirements] value must exist on the 'Yes/No' list.</t>
  </si>
  <si>
    <t>The [Q.8 Confirm credit granting req 3rd party Art 9(3)] value must exist on the 'Yes/No' list.</t>
  </si>
  <si>
    <t>The [Institution Name] value must be a Text with a maximum of 250 characters.</t>
  </si>
  <si>
    <t>The [Eircode] value must be a Text with exactly 7 characters.</t>
  </si>
  <si>
    <t>The [Nature of Securitisation - Description] value must be a Text with a maximum of 250 characters.</t>
  </si>
  <si>
    <t>The [Vehicle Activity Description] value must be a Text with a maximum of 250 characters.</t>
  </si>
  <si>
    <t>The [Third-party STS Verification Agent] value must be a Text with a maximum of 250 characters.</t>
  </si>
  <si>
    <t>The [Q.4 Confirm designated entity under Art 7(2)] value must be a Text with a maximum of 250 characters.</t>
  </si>
  <si>
    <t>[D5]
[D22]</t>
  </si>
  <si>
    <t>[D5]
[D23]</t>
  </si>
  <si>
    <t>[D5]
[D24]</t>
  </si>
  <si>
    <t>[D5]
[D25]</t>
  </si>
  <si>
    <t>[D5]
[D26]</t>
  </si>
  <si>
    <t>[D5]
[D27]</t>
  </si>
  <si>
    <t>[D5]
[D28]</t>
  </si>
  <si>
    <t>[D5]
[D31]</t>
  </si>
  <si>
    <t>[D5]
[D51]</t>
  </si>
  <si>
    <t>[D5]
[D52]</t>
  </si>
  <si>
    <t>[D5]
[D54]</t>
  </si>
  <si>
    <t>[D5]
[D56]</t>
  </si>
  <si>
    <t>[D5]
[D58]</t>
  </si>
  <si>
    <t>[D5]
[D59]</t>
  </si>
  <si>
    <t>[D5]
[D60]</t>
  </si>
  <si>
    <t>[D5]
[D29]</t>
  </si>
  <si>
    <t>[D5]
[D22]
[D29]</t>
  </si>
  <si>
    <t>[D5]
[D22]
[D23]</t>
  </si>
  <si>
    <t>[D5]
[D22]
[D24]</t>
  </si>
  <si>
    <t>[D5]
[D22]
[D25]</t>
  </si>
  <si>
    <t>[D5]
[D22]
[D26]</t>
  </si>
  <si>
    <t>[D5]
[D22]
[D28]</t>
  </si>
  <si>
    <t>[D5]
[D22]
[D26]
[D27]</t>
  </si>
  <si>
    <t>[D32]
[D33]</t>
  </si>
  <si>
    <t>[D37]
[D45]</t>
  </si>
  <si>
    <t>General
DebtIssuanceCurrency</t>
  </si>
  <si>
    <t>[D42]
[D43]</t>
  </si>
  <si>
    <t>[D43]
[D44]</t>
  </si>
  <si>
    <t>[D5]
[D52]
[D53]</t>
  </si>
  <si>
    <t>[D5]
[D54]
[D55]</t>
  </si>
  <si>
    <t>[D5]
[D56]
[D57]</t>
  </si>
  <si>
    <t>Field(s)/Column(s)</t>
  </si>
  <si>
    <t>Worksheet(s)</t>
  </si>
  <si>
    <t>[D39]
InstitutionConnectionRole</t>
  </si>
  <si>
    <t>[D32]
InstitutionConnectionRole</t>
  </si>
  <si>
    <t>[D51]
InstitutionConnectionRole</t>
  </si>
  <si>
    <t>[D36]
Debt Issuance Currency</t>
  </si>
  <si>
    <t>Institution Connection Role
Country
Sector
Central Bank Institution Number</t>
  </si>
  <si>
    <t>If [Institution Connection Role] is "SPE Sponsor(s)"
and
[Country] is "IE - Ireland"
and
[Sector] is in {"DTC - Deposit-Taking Corporation","IC - Insurance Corporation","PF - Pension Fund","FVC - Financial Vehicle Corporation","SPV - Special Purpose Vehicle","IF - Investment Funds (excl MMF)","MMF - Money Market Fund"},
then
[Central Bank Institution Number] must not be blank.</t>
  </si>
  <si>
    <t>Institution Connection Role
Institution Name
Sector
Central Bank Institution Number</t>
  </si>
  <si>
    <t>If [Institution Connection Role] is "Issuer of Debt securities held"
and
[Country] is "IE - Ireland"
and
[Sector] is in {"DTC - Deposit-Taking Corporation","IC - Insurance Corporation","PF - Pension Fund","FVC - Financial Vehicle Corporation","SPV - Special Purpose Vehicle","IF - Investment Funds (excl MMF)","MMF - Money Market Fund"},
then
[Central Bank Institution Number] must not be blank.</t>
  </si>
  <si>
    <t>If [Institution Connection Role] is "Loan originator – as per Art 2(3a)"
and
[Country] is "IE - Ireland"
and
[Sector] is in {"DTC - Deposit-Taking Corporation","IC - Insurance Corporation","PF - Pension Fund","FVC - Financial Vehicle Corporation","SPV - Special Purpose Vehicle","IF - Investment Funds (excl MMF)","MMF - Money Market Fund"},
then
[Central Bank Institution Number] must not be blank.</t>
  </si>
  <si>
    <t>If [Institution Connection Role] is "Third party purchaser – as per Art 2(3b)"
and
[Country] is "IE - Ireland"
and
[Sector] is in {"DTC - Deposit-Taking Corporation","IC - Insurance Corporation","PF - Pension Fund","FVC - Financial Vehicle Corporation","SPV - Special Purpose Vehicle","IF - Investment Funds (excl MMF)","MMF - Money Market Fund"},
then
[Central Bank Institution Number] must not be blank.</t>
  </si>
  <si>
    <t>If [Institution Connection Role] is "Other Asset Originator"
and
[Country] is "IE - Ireland"
and
[Sector] is in {"DTC - Deposit-Taking Corporation","IC - Insurance Corporation","PF - Pension Fund","FVC - Financial Vehicle Corporation","SPV - Special Purpose Vehicle","IF - Investment Funds (excl MMF)","MMF - Money Market Fund"},
then
[Central Bank Institution Number] must not be blank.</t>
  </si>
  <si>
    <t>Institution Connection Role
LEI
Central Bank Institution Number
Institution Name</t>
  </si>
  <si>
    <t>If [Institution Connection Role] is "SPE Intermediaries"
and
[Country] is "IE - Ireland"
and
[Sector] is in {"DTC - Deposit-Taking Corporation","IC - Insurance Corporation","PF - Pension Fund","FVC - Financial Vehicle Corporation","SPV - Special Purpose Vehicle","IF - Investment Funds (excl MMF)","MMF - Money Market Fund"},
then
[Central Bank Institution Number] must not be blank.</t>
  </si>
  <si>
    <t>If [Institution Connection Role] is "Consolidator"
and
[Country] is "IE - Ireland"
and
[Sector] is in {"DTC - Deposit-Taking Corporation","IC - Insurance Corporation","PF - Pension Fund","FVC - Financial Vehicle Corporation","SPV - Special Purpose Vehicle","IF - Investment Funds (excl MMF)","MMF - Money Market Fund"},
then
[Central Bank Institution Number] must not be blank.</t>
  </si>
  <si>
    <t>If [Institution Connection Role] is "Non-Consolidated Interest(s)"
and
[Country] is "IE - Ireland"
and
[Sector] is in {"DTC - Deposit-Taking Corporation","IC - Insurance Corporation","PF - Pension Fund","FVC - Financial Vehicle Corporation","SPV - Special Purpose Vehicle","IF - Investment Funds (excl MMF)","MMF - Money Market Fund"},
then
[Central Bank Institution Number] must not be blank.</t>
  </si>
  <si>
    <t>If [Institution Connection Role] is "Guarantor(s)"
and
[Country] is "IE - Ireland"
and
[Sector] is in {"DTC - Deposit-Taking Corporation","IC - Insurance Corporation","PF - Pension Fund","FVC - Financial Vehicle Corporation","SPV - Special Purpose Vehicle","IF - Investment Funds (excl MMF)","MMF - Money Market Fund"},
then
[Central Bank Institution Number] must not be blank.</t>
  </si>
  <si>
    <t>[CRO] must not be blank.</t>
  </si>
  <si>
    <t>[LEI] must not be blank and must be 20 characters.</t>
  </si>
  <si>
    <t>The [LEI] value must be a Text with exactly 20 characters.</t>
  </si>
  <si>
    <t>S122_-4</t>
  </si>
  <si>
    <t>S126_-4</t>
  </si>
  <si>
    <t>S125_-4</t>
  </si>
  <si>
    <t>S11_-4</t>
  </si>
  <si>
    <t>S128_-4</t>
  </si>
  <si>
    <t>S129_0</t>
  </si>
  <si>
    <t>S14_0</t>
  </si>
  <si>
    <t>S121_0</t>
  </si>
  <si>
    <t>S125_A</t>
  </si>
  <si>
    <t>S127_X</t>
  </si>
  <si>
    <t>S124_-4</t>
  </si>
  <si>
    <t>The [LEI] values must be a Text with exactly 20 characters.</t>
  </si>
  <si>
    <t>The [Institution Name] values must be a Text with a maximum of 250 characters.</t>
  </si>
  <si>
    <t>The [Country] values must exist on the 'Country' list.</t>
  </si>
  <si>
    <t>The [Sector] values must exist on the 'Sector' list.</t>
  </si>
  <si>
    <t>The [Other Identifier Name] values must exist on the 'Other Identifier Name' list.</t>
  </si>
  <si>
    <t>The [Institution Connection Role] values must exist on the 'Institution Connection Role' list.</t>
  </si>
  <si>
    <t>The [Other Identifier Value] values must be a Text with a maximum of 250 characters.</t>
  </si>
  <si>
    <t>The [Number of Tranches] value must be Numeric.</t>
  </si>
  <si>
    <t>The [Registered Office of Vehicle - Floor, Building] value must be a Text with a maximum of 139 characters.</t>
  </si>
  <si>
    <t>The [AddressLine1 - Street] value must be a Text with a maximum of 100 characters.</t>
  </si>
  <si>
    <t>The [AddressLine2 - Area] value must be a Text with a maximum of 100 characters.</t>
  </si>
  <si>
    <t>The [AddressLine3 - Other] value must be a Text with a maximum of 100 characters.</t>
  </si>
  <si>
    <t>The [Q.5.1 Form of risk retention as per Art 6(3)] value must exist on the 'Q.5.1 Form of risk retention as per Art 6(3)' list.</t>
  </si>
  <si>
    <t>If [Vehicle Activity] is "Other", then [Vehicle Activity Description] must contain between 150 and 250 characters.</t>
  </si>
  <si>
    <t>S1311_0</t>
  </si>
  <si>
    <t>S123_0</t>
  </si>
  <si>
    <t>Count</t>
  </si>
  <si>
    <t>If [Legal Entity Type] is "Financial Vehicle Corporation (FVC)" and [Institution Connection Role] is "Designated Originator as per SECR", then there must exist an entity where [Institution Connection Role] is "Loan originator – as per Art 2(3a)" and "Third party purchaser – as per Art 2(3b)".
Furthermore, the "Designated Originator as per SECR" entity's
{
[LEI],
[Central Bank Institution Number],
[Institution Name]
}
must match the corresponding values from either the "Loan originator – as per Art 2(3a)" entity or the "Third party purchaser – as per Art 2(3b)" entity.</t>
  </si>
  <si>
    <t>General
Cover</t>
  </si>
  <si>
    <t>[D3]
[E3]</t>
  </si>
  <si>
    <t>Central Bank Institution Number
Institution Number</t>
  </si>
  <si>
    <t>[Central Bank Institution Number] must not be blank. Furthermore, the [Central Bank Institution Number] on the "General" sheet must match the [Institution Number] on the "Cover" sheet.</t>
  </si>
  <si>
    <t>The [CRO] values must be a Numeric value between 0 and 999,999,999.</t>
  </si>
  <si>
    <t>The [Central Bank Institution Number] value must be a Numeric value between 0 and 99999999.</t>
  </si>
  <si>
    <t>Sub Sector Code</t>
  </si>
  <si>
    <t>Exchange Traded Products</t>
  </si>
  <si>
    <t>Non-Performing Loans</t>
  </si>
  <si>
    <t>The [First Report Asset Size (millions)] value must be a Numeric value between 0 and 1,000,000.</t>
  </si>
  <si>
    <t>The [Maximum Issuance Size (millions)] value must be a Numeric value between 0 and 1,000,000.</t>
  </si>
  <si>
    <r>
      <t>If [Legal Entity Type] = “Non-Securitisation SPE (SPV)”</t>
    </r>
    <r>
      <rPr>
        <sz val="11"/>
        <color theme="1"/>
        <rFont val="Calibri"/>
        <family val="2"/>
        <scheme val="minor"/>
      </rPr>
      <t>, then no originator role in “InstitutionConnections” table conditions are necessary.
Otherwise, on the "InstitutionConnections" table, the [Institution Connection Role] column must contain at least one value from
{
"Issuer of Debt securities held",
"Loan originator – as per Art 2(3a)",
"Third party purchaser – as per Art 2(3b)",
"Other Asset Originator"
}.</t>
    </r>
  </si>
  <si>
    <r>
      <t>If [Originator of Assets - Single or Multiple] is "Multip</t>
    </r>
    <r>
      <rPr>
        <sz val="11"/>
        <rFont val="Calibri"/>
        <family val="2"/>
        <scheme val="minor"/>
      </rPr>
      <t>le" and [Legal Entity Type] = "Financial Vehicle Corporation (FVC)"</t>
    </r>
    <r>
      <rPr>
        <sz val="11"/>
        <color theme="1"/>
        <rFont val="Calibri"/>
        <family val="2"/>
        <scheme val="minor"/>
      </rPr>
      <t>, then on the "InstitutionConnections" table, the [InstitutionConnectionRole] column must contain at least one value from
{
"Issuer of Debt Securities held",
"Loan originator-as per Art 2(3a),
"Third party purchaser-as per Art 2(3b)",
"Other Asset Originator"
}.</t>
    </r>
  </si>
  <si>
    <t>If [Institution Connection Role] is "Issuer of Debt securities held", then either [LEI] or [CRO] must be filled in.</t>
  </si>
  <si>
    <t>If [Institution Connection Role] is "Loan originator – as per Art 2(3a)", then either [LEI] or [CRO] must be filled in.</t>
  </si>
  <si>
    <t>If [Institution Connection Role] is "Third party purchaser – as per Art 2(3b)", then either [LEI] or [CRO] must be filled in.</t>
  </si>
  <si>
    <t>Institution Connection Role
LEI
CRO</t>
  </si>
  <si>
    <r>
      <t xml:space="preserve">If [Institution Connection </t>
    </r>
    <r>
      <rPr>
        <sz val="11"/>
        <rFont val="Calibri"/>
        <family val="2"/>
        <scheme val="minor"/>
      </rPr>
      <t>Role] is "SPE Sponsor(s)", then either [LEI] or [CRO] or [Central Bank Institution Number] must be filled in.</t>
    </r>
  </si>
  <si>
    <t>Institution Connection Role
LEI
CRO
Central Bank Institution Number</t>
  </si>
  <si>
    <t>If [Institution Connection Role] is "Other Asset Originator", then either [LEI] or [CRO] or [Central Bank Institution Number] must be filled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</si>
</sst>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0_ ;[Red]\-0\ "/>
  </numFmts>
  <fonts count="50" x14ac:knownFonts="1">
    <font>
      <sz val="11"/>
      <color theme="1"/>
      <name val="Times New Roman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8"/>
      <color rgb="FF0000FF"/>
      <name val="Tahoma"/>
      <family val="2"/>
    </font>
    <font>
      <sz val="8"/>
      <color rgb="FF0000FF"/>
      <name val="Consolas"/>
      <family val="3"/>
    </font>
    <font>
      <sz val="8"/>
      <color theme="1"/>
      <name val="Consolas"/>
      <family val="3"/>
    </font>
    <font>
      <sz val="8"/>
      <color rgb="FF002060"/>
      <name val="Tahoma"/>
      <family val="2"/>
    </font>
    <font>
      <b/>
      <sz val="8"/>
      <color theme="1"/>
      <name val="Tahoma"/>
      <family val="2"/>
    </font>
    <font>
      <sz val="8"/>
      <color theme="5" tint="-0.249977111117893"/>
      <name val="Tahoma"/>
      <family val="2"/>
    </font>
    <font>
      <sz val="8"/>
      <color rgb="FFFFFF00"/>
      <name val="Tahoma"/>
      <family val="2"/>
    </font>
    <font>
      <b/>
      <sz val="8"/>
      <color rgb="FFFFFF00"/>
      <name val="Tahoma"/>
      <family val="2"/>
    </font>
    <font>
      <sz val="8"/>
      <color theme="1" tint="0.499984740745262"/>
      <name val="Consolas"/>
      <family val="3"/>
    </font>
    <font>
      <sz val="8"/>
      <name val="Consolas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</font>
    <font>
      <b/>
      <sz val="14"/>
      <color theme="1"/>
      <name val="Calibri"/>
      <family val="2"/>
      <scheme val="minor"/>
    </font>
    <font>
      <sz val="11"/>
      <name val="Consolas"/>
      <family val="3"/>
    </font>
    <font>
      <sz val="11"/>
      <color rgb="FF0000FF"/>
      <name val="Consolas"/>
      <family val="3"/>
    </font>
    <font>
      <b/>
      <sz val="8"/>
      <name val="Consolas"/>
      <family val="3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5"/>
        <bgColor theme="0" tint="-0.14993743705557422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7CE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9" tint="0.39997558519241921"/>
      </left>
      <right style="thin">
        <color theme="0" tint="-0.24994659260841701"/>
      </right>
      <top style="thin">
        <color theme="0" tint="-0.24994659260841701"/>
      </top>
      <bottom style="thin">
        <color theme="9" tint="0.3999755851924192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5" fillId="0" borderId="0"/>
    <xf numFmtId="0" fontId="28" fillId="13" borderId="0" applyNumberFormat="0" applyBorder="0" applyAlignment="0" applyProtection="0"/>
    <xf numFmtId="0" fontId="27" fillId="0" borderId="0"/>
    <xf numFmtId="0" fontId="39" fillId="16" borderId="0" applyNumberFormat="0" applyBorder="0" applyAlignment="0" applyProtection="0"/>
  </cellStyleXfs>
  <cellXfs count="153">
    <xf numFmtId="0" fontId="0" fillId="0" borderId="0" xfId="0"/>
    <xf numFmtId="0" fontId="23" fillId="9" borderId="0" xfId="0" applyFont="1" applyFill="1" applyAlignment="1" applyProtection="1">
      <alignment horizontal="center" vertical="center"/>
    </xf>
    <xf numFmtId="0" fontId="23" fillId="9" borderId="0" xfId="0" applyFont="1" applyFill="1" applyAlignment="1" applyProtection="1">
      <alignment vertical="center"/>
    </xf>
    <xf numFmtId="0" fontId="20" fillId="7" borderId="0" xfId="0" applyFont="1" applyFill="1" applyAlignment="1" applyProtection="1">
      <alignment horizontal="center" vertical="center"/>
    </xf>
    <xf numFmtId="0" fontId="22" fillId="7" borderId="0" xfId="0" applyFont="1" applyFill="1" applyAlignment="1" applyProtection="1">
      <alignment horizontal="center" vertical="center"/>
    </xf>
    <xf numFmtId="0" fontId="17" fillId="7" borderId="0" xfId="0" applyFont="1" applyFill="1" applyAlignment="1" applyProtection="1">
      <alignment vertical="center"/>
    </xf>
    <xf numFmtId="0" fontId="20" fillId="5" borderId="2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20" fillId="7" borderId="0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vertical="center"/>
    </xf>
    <xf numFmtId="0" fontId="20" fillId="9" borderId="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vertical="center"/>
    </xf>
    <xf numFmtId="0" fontId="17" fillId="9" borderId="0" xfId="0" applyFont="1" applyFill="1" applyAlignment="1" applyProtection="1">
      <alignment vertical="center"/>
    </xf>
    <xf numFmtId="0" fontId="22" fillId="8" borderId="2" xfId="0" applyFont="1" applyFill="1" applyBorder="1" applyAlignment="1" applyProtection="1">
      <alignment horizontal="center" vertical="center"/>
    </xf>
    <xf numFmtId="0" fontId="16" fillId="10" borderId="0" xfId="0" applyFont="1" applyFill="1" applyAlignment="1" applyProtection="1">
      <alignment vertical="center"/>
    </xf>
    <xf numFmtId="0" fontId="16" fillId="10" borderId="0" xfId="0" applyFont="1" applyFill="1" applyAlignment="1" applyProtection="1">
      <alignment horizontal="center" vertical="center"/>
    </xf>
    <xf numFmtId="0" fontId="16" fillId="7" borderId="0" xfId="0" applyFont="1" applyFill="1" applyAlignment="1" applyProtection="1">
      <alignment vertical="center"/>
    </xf>
    <xf numFmtId="0" fontId="24" fillId="9" borderId="0" xfId="0" applyFont="1" applyFill="1" applyAlignment="1" applyProtection="1">
      <alignment horizontal="left" vertical="center"/>
    </xf>
    <xf numFmtId="0" fontId="16" fillId="7" borderId="0" xfId="0" applyFont="1" applyFill="1" applyAlignment="1" applyProtection="1">
      <alignment horizontal="left" vertical="center"/>
    </xf>
    <xf numFmtId="0" fontId="21" fillId="6" borderId="0" xfId="0" applyFont="1" applyFill="1" applyAlignment="1" applyProtection="1">
      <alignment horizontal="left" vertical="center"/>
    </xf>
    <xf numFmtId="0" fontId="21" fillId="7" borderId="0" xfId="0" applyFont="1" applyFill="1" applyAlignment="1" applyProtection="1">
      <alignment horizontal="left" vertical="center"/>
    </xf>
    <xf numFmtId="0" fontId="17" fillId="7" borderId="0" xfId="0" applyFont="1" applyFill="1" applyAlignment="1" applyProtection="1">
      <alignment horizontal="left" vertical="center"/>
    </xf>
    <xf numFmtId="0" fontId="16" fillId="10" borderId="0" xfId="0" applyFont="1" applyFill="1" applyAlignment="1" applyProtection="1">
      <alignment horizontal="left" vertical="center"/>
    </xf>
    <xf numFmtId="0" fontId="29" fillId="4" borderId="7" xfId="0" applyFont="1" applyFill="1" applyBorder="1" applyProtection="1"/>
    <xf numFmtId="0" fontId="29" fillId="4" borderId="9" xfId="0" applyFont="1" applyFill="1" applyBorder="1" applyProtection="1"/>
    <xf numFmtId="0" fontId="29" fillId="4" borderId="12" xfId="0" applyFont="1" applyFill="1" applyBorder="1" applyProtection="1"/>
    <xf numFmtId="0" fontId="29" fillId="4" borderId="13" xfId="0" applyFont="1" applyFill="1" applyBorder="1" applyAlignment="1" applyProtection="1">
      <alignment horizontal="center"/>
    </xf>
    <xf numFmtId="0" fontId="29" fillId="4" borderId="14" xfId="0" applyFont="1" applyFill="1" applyBorder="1" applyAlignment="1" applyProtection="1">
      <alignment horizontal="center"/>
    </xf>
    <xf numFmtId="0" fontId="21" fillId="6" borderId="0" xfId="0" applyFont="1" applyFill="1" applyAlignment="1" applyProtection="1">
      <alignment horizontal="left" vertical="center" wrapText="1"/>
    </xf>
    <xf numFmtId="0" fontId="27" fillId="4" borderId="0" xfId="0" applyFont="1" applyFill="1" applyBorder="1" applyProtection="1"/>
    <xf numFmtId="0" fontId="27" fillId="7" borderId="8" xfId="0" applyFont="1" applyFill="1" applyBorder="1" applyAlignment="1" applyProtection="1">
      <alignment horizontal="center"/>
      <protection locked="0"/>
    </xf>
    <xf numFmtId="0" fontId="27" fillId="4" borderId="10" xfId="0" applyFont="1" applyFill="1" applyBorder="1" applyProtection="1"/>
    <xf numFmtId="0" fontId="27" fillId="14" borderId="0" xfId="0" applyFont="1" applyFill="1" applyProtection="1"/>
    <xf numFmtId="0" fontId="27" fillId="4" borderId="13" xfId="0" applyFont="1" applyFill="1" applyBorder="1" applyProtection="1"/>
    <xf numFmtId="0" fontId="27" fillId="4" borderId="9" xfId="0" applyFont="1" applyFill="1" applyBorder="1" applyProtection="1"/>
    <xf numFmtId="165" fontId="42" fillId="0" borderId="2" xfId="0" applyNumberFormat="1" applyFont="1" applyFill="1" applyBorder="1" applyAlignment="1" applyProtection="1">
      <alignment horizontal="left" vertical="center"/>
      <protection locked="0"/>
    </xf>
    <xf numFmtId="49" fontId="42" fillId="0" borderId="2" xfId="0" applyNumberFormat="1" applyFont="1" applyFill="1" applyBorder="1" applyAlignment="1" applyProtection="1">
      <alignment horizontal="left" vertical="center"/>
      <protection locked="0"/>
    </xf>
    <xf numFmtId="0" fontId="42" fillId="0" borderId="2" xfId="0" applyFont="1" applyFill="1" applyBorder="1" applyAlignment="1" applyProtection="1">
      <alignment vertical="center"/>
      <protection locked="0"/>
    </xf>
    <xf numFmtId="0" fontId="42" fillId="0" borderId="2" xfId="0" applyFont="1" applyFill="1" applyBorder="1" applyAlignment="1" applyProtection="1">
      <alignment horizontal="left" vertical="center" shrinkToFit="1"/>
      <protection locked="0"/>
    </xf>
    <xf numFmtId="49" fontId="42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42" fillId="0" borderId="2" xfId="0" applyNumberFormat="1" applyFont="1" applyFill="1" applyBorder="1" applyAlignment="1" applyProtection="1">
      <alignment horizontal="left" vertical="center"/>
      <protection locked="0"/>
    </xf>
    <xf numFmtId="0" fontId="43" fillId="6" borderId="0" xfId="0" applyFont="1" applyFill="1" applyAlignment="1" applyProtection="1">
      <alignment horizontal="left" vertical="center"/>
    </xf>
    <xf numFmtId="0" fontId="41" fillId="0" borderId="19" xfId="0" applyFont="1" applyFill="1" applyBorder="1" applyAlignment="1" applyProtection="1">
      <alignment horizontal="center" vertical="center"/>
    </xf>
    <xf numFmtId="0" fontId="41" fillId="0" borderId="20" xfId="0" applyFont="1" applyFill="1" applyBorder="1" applyAlignment="1" applyProtection="1">
      <alignment horizontal="center" vertical="center"/>
    </xf>
    <xf numFmtId="0" fontId="41" fillId="0" borderId="23" xfId="0" applyFont="1" applyFill="1" applyBorder="1" applyAlignment="1" applyProtection="1">
      <alignment horizontal="center" vertical="center"/>
    </xf>
    <xf numFmtId="0" fontId="40" fillId="0" borderId="25" xfId="0" applyFont="1" applyFill="1" applyBorder="1" applyAlignment="1" applyProtection="1">
      <alignment vertical="center"/>
    </xf>
    <xf numFmtId="0" fontId="40" fillId="0" borderId="26" xfId="0" applyFont="1" applyFill="1" applyBorder="1" applyAlignment="1" applyProtection="1">
      <alignment vertical="center"/>
    </xf>
    <xf numFmtId="0" fontId="27" fillId="0" borderId="0" xfId="0" applyFont="1" applyProtection="1"/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37" fillId="11" borderId="4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Fill="1" applyAlignment="1" applyProtection="1">
      <alignment horizontal="center" vertical="center" wrapText="1"/>
    </xf>
    <xf numFmtId="0" fontId="27" fillId="0" borderId="0" xfId="0" applyFont="1" applyAlignment="1" applyProtection="1">
      <alignment vertical="center" wrapText="1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38" fillId="0" borderId="0" xfId="0" applyFont="1" applyFill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 wrapText="1"/>
    </xf>
    <xf numFmtId="0" fontId="38" fillId="0" borderId="0" xfId="0" applyFont="1" applyAlignment="1" applyProtection="1">
      <alignment vertical="center" wrapText="1"/>
    </xf>
    <xf numFmtId="0" fontId="38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Fill="1" applyAlignment="1" applyProtection="1">
      <alignment vertical="center" wrapText="1"/>
    </xf>
    <xf numFmtId="0" fontId="33" fillId="0" borderId="0" xfId="0" applyFont="1" applyFill="1" applyAlignment="1" applyProtection="1">
      <alignment horizontal="center" vertical="center"/>
    </xf>
    <xf numFmtId="0" fontId="33" fillId="0" borderId="0" xfId="0" applyFont="1" applyFill="1" applyAlignment="1" applyProtection="1">
      <alignment vertical="center"/>
    </xf>
    <xf numFmtId="0" fontId="36" fillId="0" borderId="0" xfId="2" applyFont="1" applyFill="1" applyAlignment="1" applyProtection="1">
      <alignment horizontal="center" vertical="center"/>
    </xf>
    <xf numFmtId="0" fontId="34" fillId="0" borderId="0" xfId="0" applyFont="1" applyAlignment="1" applyProtection="1">
      <alignment vertical="center"/>
    </xf>
    <xf numFmtId="0" fontId="38" fillId="0" borderId="0" xfId="0" applyFont="1" applyFill="1" applyAlignment="1" applyProtection="1">
      <alignment horizontal="center" vertical="center" wrapText="1"/>
    </xf>
    <xf numFmtId="0" fontId="38" fillId="0" borderId="0" xfId="0" applyFont="1" applyAlignment="1" applyProtection="1">
      <alignment vertical="center"/>
    </xf>
    <xf numFmtId="0" fontId="27" fillId="0" borderId="0" xfId="0" quotePrefix="1" applyFont="1" applyAlignment="1" applyProtection="1">
      <alignment horizontal="center" vertical="center"/>
    </xf>
    <xf numFmtId="0" fontId="27" fillId="0" borderId="0" xfId="0" quotePrefix="1" applyFont="1" applyFill="1" applyAlignment="1" applyProtection="1">
      <alignment horizontal="center" vertical="center"/>
    </xf>
    <xf numFmtId="0" fontId="11" fillId="0" borderId="0" xfId="1" applyFont="1" applyFill="1" applyAlignment="1" applyProtection="1">
      <alignment vertical="center" wrapText="1"/>
    </xf>
    <xf numFmtId="0" fontId="33" fillId="0" borderId="0" xfId="0" applyFont="1" applyFill="1" applyAlignment="1" applyProtection="1">
      <alignment horizontal="left" vertical="center" wrapText="1"/>
    </xf>
    <xf numFmtId="0" fontId="35" fillId="0" borderId="0" xfId="0" applyFont="1" applyFill="1" applyAlignment="1" applyProtection="1">
      <alignment horizontal="center" vertical="center" wrapText="1"/>
    </xf>
    <xf numFmtId="0" fontId="35" fillId="0" borderId="0" xfId="0" applyFont="1" applyAlignment="1" applyProtection="1">
      <alignment vertical="center" wrapText="1"/>
    </xf>
    <xf numFmtId="0" fontId="33" fillId="0" borderId="0" xfId="0" applyFont="1" applyAlignment="1" applyProtection="1">
      <alignment horizontal="left" vertical="center" wrapText="1"/>
    </xf>
    <xf numFmtId="0" fontId="45" fillId="0" borderId="0" xfId="0" applyFont="1" applyFill="1" applyAlignment="1" applyProtection="1">
      <alignment horizontal="center" vertical="center"/>
    </xf>
    <xf numFmtId="0" fontId="44" fillId="0" borderId="0" xfId="0" applyFont="1" applyAlignment="1" applyProtection="1">
      <alignment horizontal="center" vertical="center"/>
    </xf>
    <xf numFmtId="0" fontId="44" fillId="0" borderId="0" xfId="0" applyFont="1" applyAlignment="1" applyProtection="1">
      <alignment horizontal="center" vertical="center" wrapText="1"/>
    </xf>
    <xf numFmtId="0" fontId="44" fillId="0" borderId="0" xfId="0" applyFont="1" applyAlignment="1" applyProtection="1">
      <alignment vertical="center"/>
    </xf>
    <xf numFmtId="0" fontId="44" fillId="0" borderId="0" xfId="0" applyFont="1" applyFill="1" applyAlignment="1" applyProtection="1">
      <alignment horizontal="center" vertical="center"/>
    </xf>
    <xf numFmtId="0" fontId="44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8" fillId="0" borderId="0" xfId="1" applyFont="1" applyProtection="1"/>
    <xf numFmtId="0" fontId="15" fillId="0" borderId="0" xfId="1" applyProtection="1"/>
    <xf numFmtId="0" fontId="9" fillId="0" borderId="0" xfId="1" applyFont="1" applyProtection="1"/>
    <xf numFmtId="0" fontId="11" fillId="0" borderId="0" xfId="1" applyFont="1" applyProtection="1"/>
    <xf numFmtId="0" fontId="15" fillId="0" borderId="0" xfId="1" applyProtection="1">
      <protection locked="0"/>
    </xf>
    <xf numFmtId="1" fontId="15" fillId="0" borderId="0" xfId="1" applyNumberFormat="1" applyProtection="1">
      <protection locked="0"/>
    </xf>
    <xf numFmtId="0" fontId="11" fillId="0" borderId="0" xfId="1" applyFont="1" applyProtection="1">
      <protection locked="0"/>
    </xf>
    <xf numFmtId="0" fontId="9" fillId="0" borderId="0" xfId="1" applyFont="1" applyProtection="1">
      <protection locked="0"/>
    </xf>
    <xf numFmtId="1" fontId="8" fillId="0" borderId="0" xfId="1" applyNumberFormat="1" applyFont="1" applyProtection="1">
      <protection locked="0"/>
    </xf>
    <xf numFmtId="0" fontId="7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12" fillId="0" borderId="0" xfId="1" applyFont="1" applyProtection="1">
      <protection locked="0"/>
    </xf>
    <xf numFmtId="1" fontId="9" fillId="0" borderId="0" xfId="1" applyNumberFormat="1" applyFont="1" applyFill="1" applyProtection="1">
      <protection locked="0"/>
    </xf>
    <xf numFmtId="0" fontId="10" fillId="0" borderId="0" xfId="1" applyFont="1" applyProtection="1">
      <protection locked="0"/>
    </xf>
    <xf numFmtId="0" fontId="14" fillId="0" borderId="0" xfId="1" applyFont="1" applyProtection="1">
      <protection locked="0"/>
    </xf>
    <xf numFmtId="0" fontId="15" fillId="0" borderId="0" xfId="1" applyFill="1" applyProtection="1">
      <protection locked="0"/>
    </xf>
    <xf numFmtId="1" fontId="15" fillId="0" borderId="0" xfId="1" applyNumberFormat="1" applyFill="1" applyProtection="1">
      <protection locked="0"/>
    </xf>
    <xf numFmtId="0" fontId="11" fillId="0" borderId="0" xfId="1" applyFont="1" applyFill="1" applyProtection="1">
      <protection locked="0"/>
    </xf>
    <xf numFmtId="0" fontId="12" fillId="0" borderId="0" xfId="1" applyFont="1" applyFill="1" applyProtection="1">
      <protection locked="0"/>
    </xf>
    <xf numFmtId="0" fontId="9" fillId="0" borderId="0" xfId="1" applyFont="1" applyFill="1" applyProtection="1">
      <protection locked="0"/>
    </xf>
    <xf numFmtId="0" fontId="6" fillId="0" borderId="0" xfId="1" applyFont="1" applyFill="1" applyProtection="1">
      <protection locked="0"/>
    </xf>
    <xf numFmtId="0" fontId="36" fillId="0" borderId="0" xfId="4" applyFont="1" applyFill="1" applyProtection="1">
      <protection locked="0"/>
    </xf>
    <xf numFmtId="0" fontId="15" fillId="0" borderId="0" xfId="1" quotePrefix="1" applyFill="1" applyProtection="1">
      <protection locked="0"/>
    </xf>
    <xf numFmtId="0" fontId="27" fillId="0" borderId="21" xfId="0" applyFont="1" applyFill="1" applyBorder="1" applyAlignment="1" applyProtection="1">
      <alignment vertical="center"/>
      <protection locked="0"/>
    </xf>
    <xf numFmtId="0" fontId="27" fillId="0" borderId="22" xfId="0" applyFont="1" applyFill="1" applyBorder="1" applyAlignment="1" applyProtection="1">
      <alignment vertical="center"/>
      <protection locked="0"/>
    </xf>
    <xf numFmtId="0" fontId="27" fillId="0" borderId="24" xfId="0" applyFont="1" applyFill="1" applyBorder="1" applyAlignment="1" applyProtection="1">
      <alignment vertical="center"/>
      <protection locked="0"/>
    </xf>
    <xf numFmtId="0" fontId="46" fillId="17" borderId="26" xfId="0" applyFont="1" applyFill="1" applyBorder="1" applyAlignment="1" applyProtection="1">
      <alignment vertical="center"/>
    </xf>
    <xf numFmtId="0" fontId="27" fillId="4" borderId="11" xfId="0" applyFont="1" applyFill="1" applyBorder="1" applyAlignment="1" applyProtection="1">
      <alignment horizontal="center"/>
      <protection hidden="1"/>
    </xf>
    <xf numFmtId="0" fontId="27" fillId="15" borderId="17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horizontal="center" vertical="center"/>
      <protection hidden="1"/>
    </xf>
    <xf numFmtId="0" fontId="38" fillId="12" borderId="0" xfId="0" applyFont="1" applyFill="1" applyAlignment="1" applyProtection="1">
      <alignment horizontal="center" vertical="center"/>
      <protection hidden="1"/>
    </xf>
    <xf numFmtId="0" fontId="27" fillId="0" borderId="0" xfId="0" applyFont="1" applyFill="1" applyAlignment="1" applyProtection="1">
      <alignment horizontal="center" vertical="center" wrapText="1"/>
      <protection hidden="1"/>
    </xf>
    <xf numFmtId="0" fontId="45" fillId="0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 vertical="center"/>
    </xf>
    <xf numFmtId="0" fontId="32" fillId="11" borderId="0" xfId="2" applyFont="1" applyFill="1" applyAlignment="1" applyProtection="1">
      <alignment horizontal="left" vertical="center"/>
    </xf>
    <xf numFmtId="0" fontId="32" fillId="11" borderId="15" xfId="2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8" fillId="0" borderId="16" xfId="0" applyFont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</xf>
    <xf numFmtId="0" fontId="47" fillId="0" borderId="0" xfId="0" applyFont="1" applyAlignment="1" applyProtection="1">
      <alignment vertical="center" wrapText="1"/>
    </xf>
    <xf numFmtId="0" fontId="48" fillId="0" borderId="0" xfId="0" applyFont="1" applyProtection="1">
      <protection hidden="1"/>
    </xf>
    <xf numFmtId="0" fontId="27" fillId="4" borderId="10" xfId="0" applyFont="1" applyFill="1" applyBorder="1" applyAlignment="1" applyProtection="1">
      <alignment horizontal="center"/>
      <protection hidden="1"/>
    </xf>
    <xf numFmtId="0" fontId="15" fillId="11" borderId="0" xfId="1" applyFill="1" applyProtection="1">
      <protection hidden="1"/>
    </xf>
    <xf numFmtId="0" fontId="15" fillId="11" borderId="0" xfId="1" applyNumberFormat="1" applyFill="1" applyProtection="1">
      <protection hidden="1"/>
    </xf>
    <xf numFmtId="0" fontId="45" fillId="0" borderId="21" xfId="0" applyFont="1" applyFill="1" applyBorder="1" applyAlignment="1" applyProtection="1">
      <alignment horizontal="center" vertical="center"/>
      <protection hidden="1"/>
    </xf>
    <xf numFmtId="0" fontId="45" fillId="0" borderId="22" xfId="0" applyFont="1" applyFill="1" applyBorder="1" applyAlignment="1" applyProtection="1">
      <alignment horizontal="center" vertical="center"/>
      <protection hidden="1"/>
    </xf>
    <xf numFmtId="0" fontId="45" fillId="0" borderId="24" xfId="0" applyFont="1" applyFill="1" applyBorder="1" applyAlignment="1" applyProtection="1">
      <alignment horizontal="center" vertical="center"/>
      <protection hidden="1"/>
    </xf>
    <xf numFmtId="0" fontId="5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3" fillId="17" borderId="18" xfId="1" applyFont="1" applyFill="1" applyBorder="1" applyProtection="1"/>
    <xf numFmtId="0" fontId="2" fillId="0" borderId="0" xfId="1" applyFont="1" applyProtection="1">
      <protection locked="0"/>
    </xf>
    <xf numFmtId="0" fontId="1" fillId="0" borderId="0" xfId="1" applyFont="1" applyProtection="1"/>
    <xf numFmtId="0" fontId="49" fillId="0" borderId="0" xfId="1" applyFont="1" applyProtection="1">
      <protection locked="0"/>
    </xf>
    <xf numFmtId="0" fontId="29" fillId="4" borderId="4" xfId="0" applyFont="1" applyFill="1" applyBorder="1" applyAlignment="1" applyProtection="1">
      <alignment horizontal="center"/>
    </xf>
    <xf numFmtId="0" fontId="29" fillId="4" borderId="5" xfId="0" applyFont="1" applyFill="1" applyBorder="1" applyAlignment="1" applyProtection="1">
      <alignment horizontal="center"/>
    </xf>
    <xf numFmtId="0" fontId="29" fillId="4" borderId="6" xfId="0" applyFont="1" applyFill="1" applyBorder="1" applyAlignment="1" applyProtection="1">
      <alignment horizontal="center"/>
    </xf>
  </cellXfs>
  <cellStyles count="5">
    <cellStyle name="Bad" xfId="4" builtinId="27"/>
    <cellStyle name="Good" xfId="2" builtinId="26"/>
    <cellStyle name="Normal" xfId="0" builtinId="0"/>
    <cellStyle name="Normal 2" xfId="1"/>
    <cellStyle name="Normal 3" xfId="3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alignment vertical="center" textRotation="0" wrapText="0" indent="0" justifyLastLine="0" shrinkToFit="0" readingOrder="0"/>
      <protection locked="1" hidden="0"/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solid">
          <fgColor indexed="64"/>
          <bgColor theme="7" tint="0.79998168889431442"/>
        </patternFill>
      </fill>
      <protection locked="1" hidden="1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" formatCode="0"/>
      <protection locked="0" hidden="0"/>
    </dxf>
    <dxf>
      <protection locked="0" hidden="0"/>
    </dxf>
    <dxf>
      <protection locked="0" hidden="0"/>
    </dxf>
    <dxf>
      <border outline="0">
        <top style="medium">
          <color theme="1"/>
        </top>
      </border>
    </dxf>
    <dxf>
      <protection locked="1" hidden="0"/>
    </dxf>
    <dxf>
      <border outline="0">
        <bottom style="medium">
          <color theme="1"/>
        </bottom>
      </border>
    </dxf>
    <dxf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C00000"/>
        </patternFill>
      </fill>
    </dxf>
    <dxf>
      <font>
        <color theme="0"/>
      </font>
      <fill>
        <patternFill>
          <bgColor rgb="FF008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  <protection locked="1" hidden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colors>
    <mruColors>
      <color rgb="FFFFC7CE"/>
      <color rgb="FF9C0006"/>
      <color rgb="FFFFFFFF"/>
      <color rgb="FFFFFFCC"/>
      <color rgb="FF0000FF"/>
      <color rgb="FFFFCCFF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6" name="tab_Validations" displayName="tab_Validations" ref="A3:G187" totalsRowShown="0" headerRowDxfId="44" dataDxfId="43">
  <autoFilter ref="A3:G187"/>
  <sortState ref="A4:I187">
    <sortCondition ref="A3:A187"/>
  </sortState>
  <tableColumns count="7">
    <tableColumn id="7" name="#" dataDxfId="42"/>
    <tableColumn id="8" name="Worksheet(s)" dataDxfId="41"/>
    <tableColumn id="2" name="Reference" dataDxfId="40"/>
    <tableColumn id="1" name="Field(s)/Column(s)" dataDxfId="39"/>
    <tableColumn id="3" name="Validation Description" dataDxfId="38"/>
    <tableColumn id="4" name="Valid" dataDxfId="37"/>
    <tableColumn id="6" name="Error Count" dataDxfId="36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1" name="tab_InstitutionConnections" displayName="tab_InstitutionConnections" ref="A1:J51" totalsRowShown="0" headerRowDxfId="26" dataDxfId="24" headerRowBorderDxfId="25" tableBorderDxfId="23" headerRowCellStyle="Normal 2" dataCellStyle="Normal 2">
  <autoFilter ref="A1:J51"/>
  <tableColumns count="10">
    <tableColumn id="3" name="Institution Connection Role" dataDxfId="22" dataCellStyle="Normal 2"/>
    <tableColumn id="1" name="CRO" dataDxfId="21" dataCellStyle="Normal 2"/>
    <tableColumn id="2" name="LEI" dataDxfId="20" dataCellStyle="Normal 2"/>
    <tableColumn id="4" name="Other Identifier Name" dataDxfId="19" dataCellStyle="Normal 2"/>
    <tableColumn id="5" name="Other Identifier Value" dataDxfId="18" dataCellStyle="Normal 2"/>
    <tableColumn id="6" name="Central Bank Institution Number" dataDxfId="17" dataCellStyle="Normal 2"/>
    <tableColumn id="7" name="Institution Name" dataDxfId="16" dataCellStyle="Normal 2"/>
    <tableColumn id="8" name="Country" dataDxfId="15" dataCellStyle="Normal 2"/>
    <tableColumn id="9" name="Sector" dataDxfId="14" dataCellStyle="Normal 2"/>
    <tableColumn id="10" name="Sub Sector Code" dataDxfId="13" dataCellStyle="Normal 2">
      <calculatedColumnFormula>IF(ISNA(VLOOKUP(tab_InstitutionConnections[[#This Row],[Sector]],Lists!$X$2:$Y$14,2,FALSE)),"",VLOOKUP(tab_InstitutionConnections[[#This Row],[Sector]],Lists!$X$2:$Y$14,2,FALSE))</calculatedColumnFormula>
    </tableColumn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3" name="tab_DebtIssuanceCurrency" displayName="tab_DebtIssuanceCurrency" ref="A3:C168" totalsRowShown="0" headerRowDxfId="7" dataDxfId="5" headerRowBorderDxfId="6" tableBorderDxfId="4" totalsRowBorderDxfId="3">
  <autoFilter ref="A3:C168"/>
  <tableColumns count="3">
    <tableColumn id="1" name="#" dataDxfId="2"/>
    <tableColumn id="3" name="Debt Issuance Currency" dataDxfId="1"/>
    <tableColumn id="2" name="Count" dataDxfId="0">
      <calculatedColumnFormula>COUNTIF(tab_DebtIssuanceCurrency[Debt Issuance Currency],tab_DebtIssuanceCurrency[[#This Row],[Debt Issuance Currency]])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I8"/>
  <sheetViews>
    <sheetView tabSelected="1" zoomScale="145" zoomScaleNormal="145" workbookViewId="0"/>
  </sheetViews>
  <sheetFormatPr defaultColWidth="8.7109375" defaultRowHeight="15" x14ac:dyDescent="0.25"/>
  <cols>
    <col min="1" max="1" width="8.7109375" style="49"/>
    <col min="2" max="2" width="23.5703125" style="49" bestFit="1" customWidth="1"/>
    <col min="3" max="3" width="8.7109375" style="49"/>
    <col min="4" max="4" width="14.42578125" style="49" bestFit="1" customWidth="1"/>
    <col min="5" max="5" width="8.42578125" style="49" bestFit="1" customWidth="1"/>
    <col min="6" max="16384" width="8.7109375" style="49"/>
  </cols>
  <sheetData>
    <row r="1" spans="1:9" ht="15.75" thickBot="1" x14ac:dyDescent="0.3">
      <c r="A1" s="34"/>
      <c r="B1" s="34"/>
      <c r="C1" s="34"/>
      <c r="D1" s="34"/>
      <c r="E1" s="34"/>
      <c r="F1" s="34"/>
    </row>
    <row r="2" spans="1:9" ht="19.5" thickBot="1" x14ac:dyDescent="0.35">
      <c r="A2" s="34"/>
      <c r="B2" s="150" t="s">
        <v>884</v>
      </c>
      <c r="C2" s="151"/>
      <c r="D2" s="151"/>
      <c r="E2" s="152"/>
      <c r="F2" s="34"/>
    </row>
    <row r="3" spans="1:9" ht="18.75" x14ac:dyDescent="0.3">
      <c r="A3" s="34"/>
      <c r="B3" s="25" t="s">
        <v>749</v>
      </c>
      <c r="C3" s="31"/>
      <c r="D3" s="31"/>
      <c r="E3" s="32"/>
      <c r="F3" s="34"/>
    </row>
    <row r="4" spans="1:9" ht="19.5" thickBot="1" x14ac:dyDescent="0.35">
      <c r="A4" s="34"/>
      <c r="B4" s="26" t="s">
        <v>750</v>
      </c>
      <c r="C4" s="33"/>
      <c r="D4" s="33"/>
      <c r="E4" s="114" t="str">
        <f>$I$4</f>
        <v>Invalid</v>
      </c>
      <c r="F4" s="34"/>
      <c r="I4" s="137" t="str">
        <f>IF(SUM(D7:D7)&gt;0,"Invalid","Valid")</f>
        <v>Invalid</v>
      </c>
    </row>
    <row r="5" spans="1:9" ht="15.75" thickBot="1" x14ac:dyDescent="0.3">
      <c r="A5" s="34"/>
      <c r="B5" s="34"/>
      <c r="C5" s="34"/>
      <c r="D5" s="34"/>
      <c r="E5" s="34"/>
      <c r="F5" s="34"/>
    </row>
    <row r="6" spans="1:9" ht="18.75" x14ac:dyDescent="0.3">
      <c r="A6" s="34"/>
      <c r="B6" s="27" t="s">
        <v>751</v>
      </c>
      <c r="C6" s="35"/>
      <c r="D6" s="28" t="s">
        <v>752</v>
      </c>
      <c r="E6" s="29" t="s">
        <v>753</v>
      </c>
      <c r="F6" s="34"/>
    </row>
    <row r="7" spans="1:9" ht="15.75" thickBot="1" x14ac:dyDescent="0.3">
      <c r="A7" s="34"/>
      <c r="B7" s="36" t="s">
        <v>763</v>
      </c>
      <c r="C7" s="33"/>
      <c r="D7" s="138">
        <f>COUNTIF(tab_Validations[Valid],FALSE)</f>
        <v>27</v>
      </c>
      <c r="E7" s="114" t="str">
        <f>IF(D7=0,"Valid","Invalid")</f>
        <v>Invalid</v>
      </c>
      <c r="F7" s="34"/>
    </row>
    <row r="8" spans="1:9" x14ac:dyDescent="0.25">
      <c r="A8" s="34"/>
      <c r="B8" s="34"/>
      <c r="C8" s="34"/>
      <c r="D8" s="34"/>
      <c r="E8" s="34"/>
      <c r="F8" s="34"/>
    </row>
  </sheetData>
  <sheetProtection algorithmName="SHA-512" hashValue="7VL6UTQFvUbh1zElEEVSejqz0HhBUBl16FWvFScMdE0DtPHaMSBI6DoXdMJpOtPw8SGM0vzBeqnerRiXr84fTA==" saltValue="mQuDY3STxGloRce65AGoTQ==" spinCount="100000" sheet="1" objects="1" scenarios="1" sort="0" autoFilter="0"/>
  <mergeCells count="1">
    <mergeCell ref="B2:E2"/>
  </mergeCells>
  <dataValidations count="1">
    <dataValidation type="whole" allowBlank="1" showInputMessage="1" showErrorMessage="1" sqref="E3">
      <formula1>0</formula1>
      <formula2>99999999</formula2>
    </dataValidation>
  </dataValidations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O204"/>
  <sheetViews>
    <sheetView zoomScale="85" zoomScaleNormal="85" workbookViewId="0"/>
  </sheetViews>
  <sheetFormatPr defaultColWidth="8.7109375" defaultRowHeight="15" x14ac:dyDescent="0.25"/>
  <cols>
    <col min="1" max="1" width="7.28515625" style="50" bestFit="1" customWidth="1"/>
    <col min="2" max="2" width="22.7109375" style="50" bestFit="1" customWidth="1"/>
    <col min="3" max="3" width="31.5703125" style="50" bestFit="1" customWidth="1"/>
    <col min="4" max="4" width="45.5703125" style="51" customWidth="1"/>
    <col min="5" max="5" width="63.28515625" style="53" customWidth="1"/>
    <col min="6" max="6" width="10.5703125" style="50" bestFit="1" customWidth="1"/>
    <col min="7" max="7" width="16" style="50" bestFit="1" customWidth="1"/>
    <col min="8" max="8" width="61.140625" style="53" customWidth="1"/>
    <col min="9" max="9" width="8.7109375" style="84"/>
    <col min="10" max="11" width="8.7109375" style="50"/>
    <col min="12" max="14" width="21.5703125" style="50" bestFit="1" customWidth="1"/>
    <col min="15" max="16384" width="8.7109375" style="50"/>
  </cols>
  <sheetData>
    <row r="1" spans="1:9" ht="15.75" thickBot="1" x14ac:dyDescent="0.3">
      <c r="E1" s="52" t="s">
        <v>871</v>
      </c>
      <c r="F1" s="115" t="b">
        <f>AND(tab_Validations[Valid])</f>
        <v>0</v>
      </c>
      <c r="G1" s="53"/>
      <c r="H1" s="50"/>
      <c r="I1" s="50"/>
    </row>
    <row r="2" spans="1:9" x14ac:dyDescent="0.25">
      <c r="I2" s="50"/>
    </row>
    <row r="3" spans="1:9" x14ac:dyDescent="0.25">
      <c r="A3" s="50" t="s">
        <v>500</v>
      </c>
      <c r="B3" s="50" t="s">
        <v>1338</v>
      </c>
      <c r="C3" s="50" t="s">
        <v>533</v>
      </c>
      <c r="D3" s="51" t="s">
        <v>1337</v>
      </c>
      <c r="E3" s="53" t="s">
        <v>534</v>
      </c>
      <c r="F3" s="50" t="s">
        <v>535</v>
      </c>
      <c r="G3" s="50" t="s">
        <v>752</v>
      </c>
      <c r="H3" s="50"/>
      <c r="I3" s="50"/>
    </row>
    <row r="4" spans="1:9" ht="45" x14ac:dyDescent="0.25">
      <c r="A4" s="50">
        <v>1</v>
      </c>
      <c r="B4" s="60" t="s">
        <v>1387</v>
      </c>
      <c r="C4" s="54" t="s">
        <v>1388</v>
      </c>
      <c r="D4" s="136" t="s">
        <v>1389</v>
      </c>
      <c r="E4" s="56" t="s">
        <v>1390</v>
      </c>
      <c r="F4" s="116" t="b">
        <f>IF(OR(ref_CentralBankInstitutionNumber="",NOT(ref_CentralBankInstitutionNumber=ref_InstitutionNumber)),FALSE,TRUE)</f>
        <v>0</v>
      </c>
      <c r="G4" s="57" t="s">
        <v>1222</v>
      </c>
      <c r="H4" s="50"/>
      <c r="I4" s="50"/>
    </row>
    <row r="5" spans="1:9" ht="30" x14ac:dyDescent="0.25">
      <c r="A5" s="58">
        <v>2</v>
      </c>
      <c r="B5" s="50" t="s">
        <v>1164</v>
      </c>
      <c r="C5" s="54" t="s">
        <v>1179</v>
      </c>
      <c r="D5" s="55" t="s">
        <v>557</v>
      </c>
      <c r="E5" s="56" t="s">
        <v>1392</v>
      </c>
      <c r="F5" s="117" t="b">
        <f>IF(ISBLANK(ref_CentralBankInstitutionNumber),TRUE,IF(NOT(AND(ISNUMBER(ref_CentralBankInstitutionNumber),ref_CentralBankInstitutionNumber&gt;0,ref_CentralBankInstitutionNumber&lt;100000000)),FALSE,TRUE))</f>
        <v>1</v>
      </c>
      <c r="G5" s="57" t="s">
        <v>1222</v>
      </c>
      <c r="H5" s="50"/>
      <c r="I5" s="50"/>
    </row>
    <row r="6" spans="1:9" x14ac:dyDescent="0.25">
      <c r="A6" s="50">
        <v>3</v>
      </c>
      <c r="B6" s="60" t="s">
        <v>1164</v>
      </c>
      <c r="C6" s="54" t="s">
        <v>1180</v>
      </c>
      <c r="D6" s="55" t="s">
        <v>508</v>
      </c>
      <c r="E6" s="56" t="s">
        <v>764</v>
      </c>
      <c r="F6" s="116" t="b">
        <f>IF(ref_PurposeOfFiling="",FALSE,TRUE)</f>
        <v>0</v>
      </c>
      <c r="G6" s="57" t="s">
        <v>1222</v>
      </c>
      <c r="H6" s="50"/>
      <c r="I6" s="50"/>
    </row>
    <row r="7" spans="1:9" ht="30" x14ac:dyDescent="0.25">
      <c r="A7" s="58">
        <v>4</v>
      </c>
      <c r="B7" s="50" t="s">
        <v>1164</v>
      </c>
      <c r="C7" s="54" t="s">
        <v>1180</v>
      </c>
      <c r="D7" s="55" t="s">
        <v>508</v>
      </c>
      <c r="E7" s="56" t="s">
        <v>1264</v>
      </c>
      <c r="F7" s="117" t="b">
        <f>IF(ISBLANK(ref_PurposeOfFiling),TRUE,IF(NOT(COUNTIF(lis_PurposeOfFiling,ref_PurposeOfFiling)),FALSE,TRUE))</f>
        <v>1</v>
      </c>
      <c r="G7" s="57" t="s">
        <v>1222</v>
      </c>
      <c r="H7" s="50"/>
      <c r="I7" s="50"/>
    </row>
    <row r="8" spans="1:9" x14ac:dyDescent="0.25">
      <c r="A8" s="50">
        <v>5</v>
      </c>
      <c r="B8" s="60" t="s">
        <v>1164</v>
      </c>
      <c r="C8" s="54" t="s">
        <v>1181</v>
      </c>
      <c r="D8" s="55" t="s">
        <v>465</v>
      </c>
      <c r="E8" s="56" t="s">
        <v>765</v>
      </c>
      <c r="F8" s="116" t="b">
        <f>IF(ref_LegalEntityType="",FALSE,TRUE)</f>
        <v>0</v>
      </c>
      <c r="G8" s="57" t="s">
        <v>1222</v>
      </c>
      <c r="H8" s="50"/>
      <c r="I8" s="50"/>
    </row>
    <row r="9" spans="1:9" ht="30" x14ac:dyDescent="0.25">
      <c r="A9" s="58">
        <v>6</v>
      </c>
      <c r="B9" s="50" t="s">
        <v>1164</v>
      </c>
      <c r="C9" s="54" t="s">
        <v>1181</v>
      </c>
      <c r="D9" s="55" t="s">
        <v>465</v>
      </c>
      <c r="E9" s="56" t="s">
        <v>1265</v>
      </c>
      <c r="F9" s="117" t="b">
        <f>IF(ISBLANK(ref_LegalEntityType),TRUE,IF(NOT(COUNTIF(lis_LegalEntityType,ref_LegalEntityType)),FALSE,TRUE))</f>
        <v>1</v>
      </c>
      <c r="G9" s="57" t="s">
        <v>1222</v>
      </c>
      <c r="H9" s="50"/>
      <c r="I9" s="50"/>
    </row>
    <row r="10" spans="1:9" x14ac:dyDescent="0.25">
      <c r="A10" s="50">
        <v>7</v>
      </c>
      <c r="B10" s="60" t="s">
        <v>1164</v>
      </c>
      <c r="C10" s="54" t="s">
        <v>1182</v>
      </c>
      <c r="D10" s="55" t="s">
        <v>556</v>
      </c>
      <c r="E10" s="56" t="s">
        <v>766</v>
      </c>
      <c r="F10" s="116" t="b">
        <f>IF(ref_InstitutionName="",FALSE,TRUE)</f>
        <v>0</v>
      </c>
      <c r="G10" s="57" t="s">
        <v>1222</v>
      </c>
      <c r="H10" s="50"/>
      <c r="I10" s="50"/>
    </row>
    <row r="11" spans="1:9" ht="30" x14ac:dyDescent="0.25">
      <c r="A11" s="58">
        <v>8</v>
      </c>
      <c r="B11" s="50" t="s">
        <v>1164</v>
      </c>
      <c r="C11" s="54" t="s">
        <v>1182</v>
      </c>
      <c r="D11" s="61" t="s">
        <v>556</v>
      </c>
      <c r="E11" s="62" t="s">
        <v>1300</v>
      </c>
      <c r="F11" s="117" t="b">
        <f>IF(ISBLANK(ref_InstitutionName),TRUE,IF(NOT(AND(ISTEXT(ref_InstitutionName),LEN(ref_InstitutionName)&lt;251)),FALSE,TRUE))</f>
        <v>1</v>
      </c>
      <c r="G11" s="57" t="s">
        <v>1222</v>
      </c>
      <c r="H11" s="50"/>
      <c r="I11" s="50"/>
    </row>
    <row r="12" spans="1:9" x14ac:dyDescent="0.25">
      <c r="A12" s="50">
        <v>9</v>
      </c>
      <c r="B12" s="60" t="s">
        <v>1164</v>
      </c>
      <c r="C12" s="54" t="s">
        <v>1183</v>
      </c>
      <c r="D12" s="55" t="s">
        <v>576</v>
      </c>
      <c r="E12" s="56" t="s">
        <v>1356</v>
      </c>
      <c r="F12" s="116" t="b">
        <f>IF(LEN(ref_LEI)&lt;&gt;20,FALSE,TRUE)</f>
        <v>0</v>
      </c>
      <c r="G12" s="57" t="s">
        <v>1222</v>
      </c>
      <c r="H12" s="50"/>
      <c r="I12" s="50"/>
    </row>
    <row r="13" spans="1:9" x14ac:dyDescent="0.25">
      <c r="A13" s="58">
        <v>10</v>
      </c>
      <c r="B13" s="50" t="s">
        <v>1164</v>
      </c>
      <c r="C13" s="54" t="s">
        <v>1183</v>
      </c>
      <c r="D13" s="55" t="s">
        <v>576</v>
      </c>
      <c r="E13" s="63" t="s">
        <v>1357</v>
      </c>
      <c r="F13" s="117" t="b">
        <f>IF(ISBLANK(ref_LEI),TRUE,IF(NOT(AND(ISTEXT(ref_LEI),LEN(ref_LEI)=20)),FALSE,TRUE))</f>
        <v>1</v>
      </c>
      <c r="G13" s="57" t="s">
        <v>1222</v>
      </c>
      <c r="H13" s="50"/>
      <c r="I13" s="50"/>
    </row>
    <row r="14" spans="1:9" x14ac:dyDescent="0.25">
      <c r="A14" s="50">
        <v>11</v>
      </c>
      <c r="B14" s="60" t="s">
        <v>1164</v>
      </c>
      <c r="C14" s="54" t="s">
        <v>1184</v>
      </c>
      <c r="D14" s="55" t="s">
        <v>575</v>
      </c>
      <c r="E14" s="56" t="s">
        <v>1355</v>
      </c>
      <c r="F14" s="116" t="b">
        <f>IF(ref_CRO="",FALSE,TRUE)</f>
        <v>0</v>
      </c>
      <c r="G14" s="57" t="s">
        <v>1222</v>
      </c>
      <c r="H14" s="50"/>
      <c r="I14" s="50"/>
    </row>
    <row r="15" spans="1:9" ht="30" x14ac:dyDescent="0.25">
      <c r="A15" s="58">
        <v>12</v>
      </c>
      <c r="B15" s="50" t="s">
        <v>1164</v>
      </c>
      <c r="C15" s="54" t="s">
        <v>1184</v>
      </c>
      <c r="D15" s="55" t="s">
        <v>575</v>
      </c>
      <c r="E15" s="56" t="s">
        <v>1391</v>
      </c>
      <c r="F15" s="117" t="b">
        <f>IF(ISBLANK(ref_CRO),TRUE,IF(NOT(AND(ISNUMBER(ref_CRO),ref_CRO&gt;0,ref_CRO&lt;1000000000)),FALSE,TRUE))</f>
        <v>1</v>
      </c>
      <c r="G15" s="57" t="s">
        <v>1222</v>
      </c>
      <c r="H15" s="50"/>
      <c r="I15" s="50"/>
    </row>
    <row r="16" spans="1:9" x14ac:dyDescent="0.25">
      <c r="A16" s="50">
        <v>13</v>
      </c>
      <c r="B16" s="60" t="s">
        <v>1164</v>
      </c>
      <c r="C16" s="54" t="s">
        <v>1185</v>
      </c>
      <c r="D16" s="55" t="s">
        <v>451</v>
      </c>
      <c r="E16" s="56" t="s">
        <v>767</v>
      </c>
      <c r="F16" s="116" t="b">
        <f>IF(ref_CompanyType="",FALSE,TRUE)</f>
        <v>0</v>
      </c>
      <c r="G16" s="57" t="s">
        <v>1222</v>
      </c>
      <c r="H16" s="50"/>
      <c r="I16" s="50"/>
    </row>
    <row r="17" spans="1:9" x14ac:dyDescent="0.25">
      <c r="A17" s="58">
        <v>14</v>
      </c>
      <c r="B17" s="50" t="s">
        <v>1164</v>
      </c>
      <c r="C17" s="54" t="s">
        <v>1185</v>
      </c>
      <c r="D17" s="55" t="s">
        <v>451</v>
      </c>
      <c r="E17" s="56" t="s">
        <v>1266</v>
      </c>
      <c r="F17" s="117" t="b">
        <f>IF(ISBLANK(ref_CompanyType),TRUE,IF(NOT(COUNTIF(lis_CompanyType,ref_CompanyType)),FALSE,TRUE))</f>
        <v>1</v>
      </c>
      <c r="G17" s="57" t="s">
        <v>1222</v>
      </c>
      <c r="H17" s="50"/>
      <c r="I17" s="50"/>
    </row>
    <row r="18" spans="1:9" x14ac:dyDescent="0.25">
      <c r="A18" s="50">
        <v>15</v>
      </c>
      <c r="B18" s="60" t="s">
        <v>1164</v>
      </c>
      <c r="C18" s="54" t="s">
        <v>1186</v>
      </c>
      <c r="D18" s="55" t="s">
        <v>492</v>
      </c>
      <c r="E18" s="56" t="s">
        <v>768</v>
      </c>
      <c r="F18" s="116" t="b">
        <f>IF(ref_AddressFloorBuilding="",FALSE,TRUE)</f>
        <v>0</v>
      </c>
      <c r="G18" s="57" t="s">
        <v>1222</v>
      </c>
      <c r="H18" s="50"/>
      <c r="I18" s="50"/>
    </row>
    <row r="19" spans="1:9" ht="30" x14ac:dyDescent="0.25">
      <c r="A19" s="58">
        <v>16</v>
      </c>
      <c r="B19" s="50" t="s">
        <v>1164</v>
      </c>
      <c r="C19" s="54" t="s">
        <v>1186</v>
      </c>
      <c r="D19" s="61" t="s">
        <v>492</v>
      </c>
      <c r="E19" s="63" t="s">
        <v>1377</v>
      </c>
      <c r="F19" s="117" t="b">
        <f>IF(ISBLANK(ref_AddressFloorBuilding),TRUE,IF(NOT(AND(ISTEXT(ref_AddressFloorBuilding),LEN(ref_AddressFloorBuilding)&lt;140)),FALSE,TRUE))</f>
        <v>1</v>
      </c>
      <c r="G19" s="57" t="s">
        <v>1222</v>
      </c>
      <c r="H19" s="50"/>
      <c r="I19" s="50"/>
    </row>
    <row r="20" spans="1:9" ht="30" x14ac:dyDescent="0.25">
      <c r="A20" s="50">
        <v>17</v>
      </c>
      <c r="B20" s="50" t="s">
        <v>1164</v>
      </c>
      <c r="C20" s="54" t="s">
        <v>1214</v>
      </c>
      <c r="D20" s="61" t="s">
        <v>760</v>
      </c>
      <c r="E20" s="63" t="s">
        <v>1378</v>
      </c>
      <c r="F20" s="117" t="b">
        <f>IF(ISBLANK(ref_AddressStreet),TRUE,IF(NOT(AND(ISTEXT(ref_AddressStreet),LEN(ref_AddressStreet)&lt;101)),FALSE,TRUE))</f>
        <v>1</v>
      </c>
      <c r="G20" s="57" t="s">
        <v>1222</v>
      </c>
      <c r="H20" s="50"/>
      <c r="I20" s="50"/>
    </row>
    <row r="21" spans="1:9" ht="30" x14ac:dyDescent="0.25">
      <c r="A21" s="58">
        <v>18</v>
      </c>
      <c r="B21" s="50" t="s">
        <v>1164</v>
      </c>
      <c r="C21" s="54" t="s">
        <v>1215</v>
      </c>
      <c r="D21" s="61" t="s">
        <v>493</v>
      </c>
      <c r="E21" s="63" t="s">
        <v>1379</v>
      </c>
      <c r="F21" s="117" t="b">
        <f>IF(ISBLANK(ref_AddressArea),TRUE,IF(NOT(AND(ISTEXT(ref_AddressArea),LEN(ref_AddressArea)&lt;101)),FALSE,TRUE))</f>
        <v>1</v>
      </c>
      <c r="G21" s="57" t="s">
        <v>1222</v>
      </c>
      <c r="H21" s="50"/>
      <c r="I21" s="50"/>
    </row>
    <row r="22" spans="1:9" ht="30" x14ac:dyDescent="0.25">
      <c r="A22" s="50">
        <v>19</v>
      </c>
      <c r="B22" s="50" t="s">
        <v>1164</v>
      </c>
      <c r="C22" s="54" t="s">
        <v>1216</v>
      </c>
      <c r="D22" s="61" t="s">
        <v>494</v>
      </c>
      <c r="E22" s="63" t="s">
        <v>1380</v>
      </c>
      <c r="F22" s="117" t="b">
        <f>IF(ISBLANK(ref_AddressOther),TRUE,IF(NOT(AND(ISTEXT(ref_AddressOther),LEN(ref_AddressOther)&lt;101)),FALSE,TRUE))</f>
        <v>1</v>
      </c>
      <c r="G22" s="57" t="s">
        <v>1222</v>
      </c>
      <c r="H22" s="50"/>
      <c r="I22" s="50"/>
    </row>
    <row r="23" spans="1:9" x14ac:dyDescent="0.25">
      <c r="A23" s="58">
        <v>20</v>
      </c>
      <c r="B23" s="60" t="s">
        <v>1164</v>
      </c>
      <c r="C23" s="54" t="s">
        <v>1187</v>
      </c>
      <c r="D23" s="55" t="s">
        <v>758</v>
      </c>
      <c r="E23" s="56" t="s">
        <v>769</v>
      </c>
      <c r="F23" s="116" t="b">
        <f>IF(ref_County="",FALSE,TRUE)</f>
        <v>0</v>
      </c>
      <c r="G23" s="57" t="s">
        <v>1222</v>
      </c>
      <c r="H23" s="50"/>
      <c r="I23" s="50"/>
    </row>
    <row r="24" spans="1:9" x14ac:dyDescent="0.25">
      <c r="A24" s="50">
        <v>21</v>
      </c>
      <c r="B24" s="50" t="s">
        <v>1164</v>
      </c>
      <c r="C24" s="54" t="s">
        <v>1187</v>
      </c>
      <c r="D24" s="55" t="s">
        <v>758</v>
      </c>
      <c r="E24" s="56" t="s">
        <v>1275</v>
      </c>
      <c r="F24" s="117" t="b">
        <f>IF(ISBLANK(ref_County),TRUE,IF(NOT(COUNTIF(lis_County,ref_County)),FALSE,TRUE))</f>
        <v>1</v>
      </c>
      <c r="G24" s="57" t="s">
        <v>1222</v>
      </c>
      <c r="H24" s="50"/>
      <c r="I24" s="50"/>
    </row>
    <row r="25" spans="1:9" ht="30" x14ac:dyDescent="0.25">
      <c r="A25" s="58">
        <v>22</v>
      </c>
      <c r="B25" s="60" t="s">
        <v>1164</v>
      </c>
      <c r="C25" s="54" t="s">
        <v>1167</v>
      </c>
      <c r="D25" s="55" t="s">
        <v>759</v>
      </c>
      <c r="E25" s="56" t="s">
        <v>1218</v>
      </c>
      <c r="F25" s="116" t="b">
        <f>IF(NOT(LEN(SUBSTITUTE(ref_Eircode," ","")=7)),FALSE,TRUE)</f>
        <v>1</v>
      </c>
      <c r="G25" s="57" t="s">
        <v>1222</v>
      </c>
      <c r="H25" s="50"/>
      <c r="I25" s="50"/>
    </row>
    <row r="26" spans="1:9" x14ac:dyDescent="0.25">
      <c r="A26" s="50">
        <v>23</v>
      </c>
      <c r="B26" s="60" t="s">
        <v>1164</v>
      </c>
      <c r="C26" s="54" t="s">
        <v>1167</v>
      </c>
      <c r="D26" s="55" t="s">
        <v>759</v>
      </c>
      <c r="E26" s="56" t="s">
        <v>1219</v>
      </c>
      <c r="F26" s="116" t="b">
        <f>IF(ISNA(VLOOKUP(LEFT(ref_Eircode,3),lis_EircodeRoutingKey,1,FALSE)),FALSE,TRUE)</f>
        <v>0</v>
      </c>
      <c r="G26" s="57" t="s">
        <v>1222</v>
      </c>
      <c r="H26" s="50"/>
      <c r="I26" s="50"/>
    </row>
    <row r="27" spans="1:9" x14ac:dyDescent="0.25">
      <c r="A27" s="58">
        <v>24</v>
      </c>
      <c r="B27" s="60" t="s">
        <v>1164</v>
      </c>
      <c r="C27" s="54" t="s">
        <v>1167</v>
      </c>
      <c r="D27" s="55" t="s">
        <v>759</v>
      </c>
      <c r="E27" s="56" t="s">
        <v>770</v>
      </c>
      <c r="F27" s="116" t="b">
        <f>IF(ref_Eircode="",FALSE,TRUE)</f>
        <v>0</v>
      </c>
      <c r="G27" s="57" t="s">
        <v>1222</v>
      </c>
      <c r="H27" s="50"/>
      <c r="I27" s="50"/>
    </row>
    <row r="28" spans="1:9" x14ac:dyDescent="0.25">
      <c r="A28" s="50">
        <v>25</v>
      </c>
      <c r="B28" s="50" t="s">
        <v>1164</v>
      </c>
      <c r="C28" s="54" t="s">
        <v>1167</v>
      </c>
      <c r="D28" s="61" t="s">
        <v>759</v>
      </c>
      <c r="E28" s="62" t="s">
        <v>1301</v>
      </c>
      <c r="F28" s="117" t="b">
        <f>IF(ISBLANK(ref_Eircode),TRUE,IF(NOT(AND(ISTEXT(ref_Eircode),LEN(ref_Eircode)=7)),FALSE,TRUE))</f>
        <v>1</v>
      </c>
      <c r="G28" s="57" t="s">
        <v>1222</v>
      </c>
      <c r="H28" s="50"/>
      <c r="I28" s="50"/>
    </row>
    <row r="29" spans="1:9" ht="30" x14ac:dyDescent="0.25">
      <c r="A29" s="58">
        <v>26</v>
      </c>
      <c r="B29" s="50" t="s">
        <v>1164</v>
      </c>
      <c r="C29" s="54" t="s">
        <v>1167</v>
      </c>
      <c r="D29" s="61" t="s">
        <v>759</v>
      </c>
      <c r="E29" s="63" t="s">
        <v>1278</v>
      </c>
      <c r="F29" s="117" t="b">
        <f>IF(ISBLANK(ref_Eircode),TRUE,IF(NOT(COUNTIF(lis_EircodeRoutingKey,LEFT(ref_Eircode,3))),FALSE,TRUE))</f>
        <v>1</v>
      </c>
      <c r="G29" s="57" t="s">
        <v>1222</v>
      </c>
      <c r="H29" s="50"/>
      <c r="I29" s="50"/>
    </row>
    <row r="30" spans="1:9" ht="45" x14ac:dyDescent="0.25">
      <c r="A30" s="50">
        <v>27</v>
      </c>
      <c r="B30" s="60" t="s">
        <v>1164</v>
      </c>
      <c r="C30" s="54" t="s">
        <v>1188</v>
      </c>
      <c r="D30" s="55" t="s">
        <v>514</v>
      </c>
      <c r="E30" s="56" t="s">
        <v>771</v>
      </c>
      <c r="F30" s="116" t="b">
        <f>IF(ref_UndertakenSchedule2Activities="",FALSE,TRUE)</f>
        <v>0</v>
      </c>
      <c r="G30" s="57" t="s">
        <v>1222</v>
      </c>
      <c r="H30" s="50"/>
      <c r="I30" s="50"/>
    </row>
    <row r="31" spans="1:9" ht="45" x14ac:dyDescent="0.25">
      <c r="A31" s="58">
        <v>28</v>
      </c>
      <c r="B31" s="50" t="s">
        <v>1164</v>
      </c>
      <c r="C31" s="54" t="s">
        <v>1188</v>
      </c>
      <c r="D31" s="61" t="s">
        <v>514</v>
      </c>
      <c r="E31" s="56" t="s">
        <v>1280</v>
      </c>
      <c r="F31" s="117" t="b">
        <f>IF(ISBLANK(ref_UndertakenSchedule2Activities),TRUE,IF(NOT(COUNTIF(lis_YesNo,ref_UndertakenSchedule2Activities)),FALSE,TRUE))</f>
        <v>1</v>
      </c>
      <c r="G31" s="57" t="s">
        <v>1222</v>
      </c>
      <c r="H31" s="50"/>
      <c r="I31" s="50"/>
    </row>
    <row r="32" spans="1:9" ht="30" x14ac:dyDescent="0.25">
      <c r="A32" s="50">
        <v>29</v>
      </c>
      <c r="B32" s="60" t="s">
        <v>1164</v>
      </c>
      <c r="C32" s="54" t="s">
        <v>1189</v>
      </c>
      <c r="D32" s="55" t="s">
        <v>515</v>
      </c>
      <c r="E32" s="56" t="s">
        <v>772</v>
      </c>
      <c r="F32" s="116" t="b">
        <f>IF(ref_RegisteredAsSchedule2="",FALSE,TRUE)</f>
        <v>0</v>
      </c>
      <c r="G32" s="57" t="s">
        <v>1222</v>
      </c>
      <c r="H32" s="50"/>
      <c r="I32" s="50"/>
    </row>
    <row r="33" spans="1:9" ht="30" x14ac:dyDescent="0.25">
      <c r="A33" s="58">
        <v>30</v>
      </c>
      <c r="B33" s="50" t="s">
        <v>1164</v>
      </c>
      <c r="C33" s="54" t="s">
        <v>1189</v>
      </c>
      <c r="D33" s="61" t="s">
        <v>515</v>
      </c>
      <c r="E33" s="56" t="s">
        <v>1281</v>
      </c>
      <c r="F33" s="117" t="b">
        <f>IF(ISBLANK(ref_RegisteredAsSchedule2),TRUE,IF(NOT(COUNTIF(lis_YesNo,ref_RegisteredAsSchedule2)),FALSE,TRUE))</f>
        <v>1</v>
      </c>
      <c r="G33" s="57" t="s">
        <v>1222</v>
      </c>
      <c r="H33" s="50"/>
      <c r="I33" s="50"/>
    </row>
    <row r="34" spans="1:9" x14ac:dyDescent="0.25">
      <c r="A34" s="50">
        <v>31</v>
      </c>
      <c r="B34" s="50" t="s">
        <v>1164</v>
      </c>
      <c r="C34" s="54" t="s">
        <v>1168</v>
      </c>
      <c r="D34" s="61" t="s">
        <v>452</v>
      </c>
      <c r="E34" s="56" t="s">
        <v>1282</v>
      </c>
      <c r="F34" s="117" t="b">
        <f>IF(ISBLANK(ref_SecuritisationDeclaration),TRUE,IF(NOT(COUNTIF(lis_YesNo,ref_SecuritisationDeclaration)),FALSE,TRUE))</f>
        <v>1</v>
      </c>
      <c r="G34" s="57" t="s">
        <v>1222</v>
      </c>
      <c r="H34" s="50"/>
      <c r="I34" s="50"/>
    </row>
    <row r="35" spans="1:9" ht="30" x14ac:dyDescent="0.25">
      <c r="A35" s="58">
        <v>32</v>
      </c>
      <c r="B35" s="50" t="s">
        <v>1164</v>
      </c>
      <c r="C35" s="54" t="s">
        <v>1169</v>
      </c>
      <c r="D35" s="55" t="s">
        <v>516</v>
      </c>
      <c r="E35" s="56" t="s">
        <v>1267</v>
      </c>
      <c r="F35" s="117" t="b">
        <f>IF(ISBLANK(ref_PrivateOrPublicSecuritisation),TRUE,IF(NOT(COUNTIF(lis_PrivateOrPublicSecuritisation,ref_PrivateOrPublicSecuritisation)),FALSE,TRUE))</f>
        <v>1</v>
      </c>
      <c r="G35" s="57" t="s">
        <v>1222</v>
      </c>
      <c r="H35" s="50"/>
      <c r="I35" s="50"/>
    </row>
    <row r="36" spans="1:9" ht="30" x14ac:dyDescent="0.25">
      <c r="A36" s="50">
        <v>33</v>
      </c>
      <c r="B36" s="50" t="s">
        <v>1164</v>
      </c>
      <c r="C36" s="54" t="s">
        <v>1170</v>
      </c>
      <c r="D36" s="55" t="s">
        <v>448</v>
      </c>
      <c r="E36" s="56" t="s">
        <v>1268</v>
      </c>
      <c r="F36" s="117" t="b">
        <f>IF(ISBLANK(ref_NatureOfSecuritisation),TRUE,IF(NOT(COUNTIF(lis_NatureOfSecuritisation,ref_NatureOfSecuritisation)),FALSE,TRUE))</f>
        <v>1</v>
      </c>
      <c r="G36" s="57" t="s">
        <v>1222</v>
      </c>
      <c r="H36" s="50"/>
      <c r="I36" s="50"/>
    </row>
    <row r="37" spans="1:9" ht="30" x14ac:dyDescent="0.25">
      <c r="A37" s="58">
        <v>34</v>
      </c>
      <c r="B37" s="50" t="s">
        <v>1164</v>
      </c>
      <c r="C37" s="54" t="s">
        <v>1171</v>
      </c>
      <c r="D37" s="61" t="s">
        <v>487</v>
      </c>
      <c r="E37" s="62" t="s">
        <v>1302</v>
      </c>
      <c r="F37" s="117" t="b">
        <f>IF(ISBLANK(ref_NatureOfSecuritisationDescription),TRUE,IF(NOT(AND(ISTEXT(ref_NatureOfSecuritisationDescription),LEN(ref_NatureOfSecuritisationDescription)&lt;251)),FALSE,TRUE))</f>
        <v>1</v>
      </c>
      <c r="G37" s="57" t="s">
        <v>1222</v>
      </c>
      <c r="H37" s="50"/>
      <c r="I37" s="50"/>
    </row>
    <row r="38" spans="1:9" ht="30" x14ac:dyDescent="0.25">
      <c r="A38" s="50">
        <v>35</v>
      </c>
      <c r="B38" s="50" t="s">
        <v>1164</v>
      </c>
      <c r="C38" s="54" t="s">
        <v>1172</v>
      </c>
      <c r="D38" s="61" t="s">
        <v>519</v>
      </c>
      <c r="E38" s="56" t="s">
        <v>1283</v>
      </c>
      <c r="F38" s="117" t="b">
        <f>IF(ISBLANK(ref_SecuritisationReportedToSR),TRUE,IF(NOT(COUNTIF(lis_YesNo,ref_SecuritisationReportedToSR)),FALSE,TRUE))</f>
        <v>1</v>
      </c>
      <c r="G38" s="57" t="s">
        <v>1222</v>
      </c>
      <c r="H38" s="50"/>
      <c r="I38" s="50"/>
    </row>
    <row r="39" spans="1:9" ht="30" x14ac:dyDescent="0.25">
      <c r="A39" s="58">
        <v>36</v>
      </c>
      <c r="B39" s="50" t="s">
        <v>1164</v>
      </c>
      <c r="C39" s="54" t="s">
        <v>1173</v>
      </c>
      <c r="D39" s="55" t="s">
        <v>520</v>
      </c>
      <c r="E39" s="56" t="s">
        <v>1269</v>
      </c>
      <c r="F39" s="117" t="b">
        <f>IF(ISBLANK(ref_NameOfSecuritisationRepository),TRUE,IF(NOT(COUNTIF(lis_NameOfSecuritisationRepository,ref_NameOfSecuritisationRepository)),FALSE,TRUE))</f>
        <v>1</v>
      </c>
      <c r="G39" s="57" t="s">
        <v>1222</v>
      </c>
      <c r="H39" s="50"/>
      <c r="I39" s="50"/>
    </row>
    <row r="40" spans="1:9" ht="30" x14ac:dyDescent="0.25">
      <c r="A40" s="50">
        <v>37</v>
      </c>
      <c r="B40" s="50" t="s">
        <v>1164</v>
      </c>
      <c r="C40" s="54" t="s">
        <v>1174</v>
      </c>
      <c r="D40" s="55" t="s">
        <v>521</v>
      </c>
      <c r="E40" s="56" t="s">
        <v>1270</v>
      </c>
      <c r="F40" s="117" t="b">
        <f>IF(ISBLANK(ref_UnderlyingExposureClassification),TRUE,IF(NOT(COUNTIF(lis_UnderlyingExposureClassification,ref_UnderlyingExposureClassification)),FALSE,TRUE))</f>
        <v>1</v>
      </c>
      <c r="G40" s="57" t="s">
        <v>1222</v>
      </c>
      <c r="H40" s="50"/>
      <c r="I40" s="50"/>
    </row>
    <row r="41" spans="1:9" x14ac:dyDescent="0.25">
      <c r="A41" s="58">
        <v>38</v>
      </c>
      <c r="B41" s="50" t="s">
        <v>1164</v>
      </c>
      <c r="C41" s="54" t="s">
        <v>1213</v>
      </c>
      <c r="D41" s="61" t="s">
        <v>522</v>
      </c>
      <c r="E41" s="56" t="s">
        <v>1376</v>
      </c>
      <c r="F41" s="117" t="b">
        <f>IF(ISBLANK(ref_NumberOfTranches),TRUE,IF(NOT(AND(ISNUMBER(ref_NumberOfTranches),ref_NumberOfTranches&gt;0)),FALSE,TRUE))</f>
        <v>1</v>
      </c>
      <c r="G41" s="57" t="s">
        <v>1222</v>
      </c>
      <c r="H41" s="50"/>
      <c r="I41" s="50"/>
    </row>
    <row r="42" spans="1:9" x14ac:dyDescent="0.25">
      <c r="A42" s="50">
        <v>39</v>
      </c>
      <c r="B42" s="60" t="s">
        <v>1164</v>
      </c>
      <c r="C42" s="54" t="s">
        <v>1190</v>
      </c>
      <c r="D42" s="55" t="s">
        <v>453</v>
      </c>
      <c r="E42" s="56" t="s">
        <v>773</v>
      </c>
      <c r="F42" s="116" t="b">
        <f>IF(ref_Section110Declaration="",FALSE,TRUE)</f>
        <v>0</v>
      </c>
      <c r="G42" s="57" t="s">
        <v>1222</v>
      </c>
      <c r="H42" s="50"/>
      <c r="I42" s="50"/>
    </row>
    <row r="43" spans="1:9" x14ac:dyDescent="0.25">
      <c r="A43" s="58">
        <v>40</v>
      </c>
      <c r="B43" s="50" t="s">
        <v>1164</v>
      </c>
      <c r="C43" s="54" t="s">
        <v>1190</v>
      </c>
      <c r="D43" s="61" t="s">
        <v>453</v>
      </c>
      <c r="E43" s="56" t="s">
        <v>1284</v>
      </c>
      <c r="F43" s="117" t="b">
        <f>IF(ISBLANK(ref_Section110Declaration),TRUE,IF(NOT(COUNTIF(lis_YesNo,ref_Section110Declaration)),FALSE,TRUE))</f>
        <v>1</v>
      </c>
      <c r="G43" s="57" t="s">
        <v>1222</v>
      </c>
      <c r="H43" s="50"/>
      <c r="I43" s="50"/>
    </row>
    <row r="44" spans="1:9" ht="30" x14ac:dyDescent="0.25">
      <c r="A44" s="50">
        <v>41</v>
      </c>
      <c r="B44" s="50" t="s">
        <v>1164</v>
      </c>
      <c r="C44" s="54" t="s">
        <v>1175</v>
      </c>
      <c r="D44" s="61" t="s">
        <v>498</v>
      </c>
      <c r="E44" s="56" t="s">
        <v>1285</v>
      </c>
      <c r="F44" s="117" t="b">
        <f>IF(ISBLANK(ref_MIVDeclaration),TRUE,IF(NOT(COUNTIF(lis_YesNo,ref_MIVDeclaration)),FALSE,TRUE))</f>
        <v>1</v>
      </c>
      <c r="G44" s="57" t="s">
        <v>1222</v>
      </c>
      <c r="H44" s="50"/>
      <c r="I44" s="50"/>
    </row>
    <row r="45" spans="1:9" x14ac:dyDescent="0.25">
      <c r="A45" s="58">
        <v>42</v>
      </c>
      <c r="B45" s="60" t="s">
        <v>1164</v>
      </c>
      <c r="C45" s="54" t="s">
        <v>1191</v>
      </c>
      <c r="D45" s="55" t="s">
        <v>446</v>
      </c>
      <c r="E45" s="56" t="s">
        <v>774</v>
      </c>
      <c r="F45" s="116" t="b">
        <f>IF(ref_VehicleActivity="",FALSE,TRUE)</f>
        <v>0</v>
      </c>
      <c r="G45" s="57" t="s">
        <v>1222</v>
      </c>
      <c r="H45" s="50"/>
      <c r="I45" s="50"/>
    </row>
    <row r="46" spans="1:9" ht="30" x14ac:dyDescent="0.25">
      <c r="A46" s="50">
        <v>43</v>
      </c>
      <c r="B46" s="50" t="s">
        <v>1164</v>
      </c>
      <c r="C46" s="54" t="s">
        <v>1191</v>
      </c>
      <c r="D46" s="55" t="s">
        <v>446</v>
      </c>
      <c r="E46" s="63" t="s">
        <v>1279</v>
      </c>
      <c r="F46" s="118" t="b">
        <f>IF(ISBLANK(ref_VehicleActivity),TRUE,IF(ref_LegalEntityType="Financial Vehicle Corporation (FVC)",IF(NOT(COUNTIF(lis_VehicleActivityFVC,ref_VehicleActivity)),FALSE,TRUE),IF(NOT(COUNTIF(lis_VehicleActivitySPV,ref_VehicleActivity)),FALSE,TRUE)))</f>
        <v>1</v>
      </c>
      <c r="G46" s="57" t="s">
        <v>1222</v>
      </c>
      <c r="H46" s="50"/>
      <c r="I46" s="50"/>
    </row>
    <row r="47" spans="1:9" ht="30" x14ac:dyDescent="0.25">
      <c r="A47" s="58">
        <v>44</v>
      </c>
      <c r="B47" s="50" t="s">
        <v>1164</v>
      </c>
      <c r="C47" s="54" t="s">
        <v>1329</v>
      </c>
      <c r="D47" s="55" t="s">
        <v>1240</v>
      </c>
      <c r="E47" s="63" t="s">
        <v>1382</v>
      </c>
      <c r="F47" s="116" t="b">
        <f>IF(AND(ref_VehicleActivity="Other",OR(LEN(ref_VehicleActivityDescription)&lt;150,LEN(ref_VehicleActivityDescription)&gt;250)),FALSE,TRUE)</f>
        <v>1</v>
      </c>
      <c r="G47" s="57" t="s">
        <v>1222</v>
      </c>
      <c r="H47" s="50"/>
      <c r="I47" s="50"/>
    </row>
    <row r="48" spans="1:9" ht="30" x14ac:dyDescent="0.25">
      <c r="A48" s="50">
        <v>45</v>
      </c>
      <c r="B48" s="50" t="s">
        <v>1164</v>
      </c>
      <c r="C48" s="54" t="s">
        <v>1176</v>
      </c>
      <c r="D48" s="61" t="s">
        <v>470</v>
      </c>
      <c r="E48" s="62" t="s">
        <v>1303</v>
      </c>
      <c r="F48" s="117" t="b">
        <f>IF(ISBLANK(ref_VehicleActivityDescription),TRUE,IF(NOT(AND(ISTEXT(ref_VehicleActivityDescription),LEN(ref_VehicleActivityDescription)&lt;251)),FALSE,TRUE))</f>
        <v>1</v>
      </c>
      <c r="G48" s="57" t="s">
        <v>1222</v>
      </c>
      <c r="H48" s="50"/>
      <c r="I48" s="50"/>
    </row>
    <row r="49" spans="1:9" x14ac:dyDescent="0.25">
      <c r="A49" s="58">
        <v>46</v>
      </c>
      <c r="B49" s="60" t="s">
        <v>1164</v>
      </c>
      <c r="C49" s="54" t="s">
        <v>1192</v>
      </c>
      <c r="D49" s="55" t="s">
        <v>531</v>
      </c>
      <c r="E49" s="56" t="s">
        <v>775</v>
      </c>
      <c r="F49" s="116" t="b">
        <f>IF(ref_ExpectedFTEs="",FALSE,TRUE)</f>
        <v>0</v>
      </c>
      <c r="G49" s="57" t="s">
        <v>1222</v>
      </c>
      <c r="H49" s="50"/>
      <c r="I49" s="50"/>
    </row>
    <row r="50" spans="1:9" x14ac:dyDescent="0.25">
      <c r="A50" s="50">
        <v>47</v>
      </c>
      <c r="B50" s="50" t="s">
        <v>1164</v>
      </c>
      <c r="C50" s="54" t="s">
        <v>1192</v>
      </c>
      <c r="D50" s="55" t="s">
        <v>531</v>
      </c>
      <c r="E50" s="56" t="s">
        <v>1263</v>
      </c>
      <c r="F50" s="117" t="b">
        <f>IF(ISBLANK(ref_ExpectedFTEs),TRUE,IF(NOT(AND(ISNUMBER(ref_ExpectedFTEs),ref_ExpectedFTEs&gt;=0)),FALSE,TRUE))</f>
        <v>1</v>
      </c>
      <c r="G50" s="57" t="s">
        <v>1222</v>
      </c>
      <c r="H50" s="50"/>
      <c r="I50" s="50"/>
    </row>
    <row r="51" spans="1:9" x14ac:dyDescent="0.25">
      <c r="A51" s="58">
        <v>48</v>
      </c>
      <c r="B51" s="60" t="s">
        <v>1164</v>
      </c>
      <c r="C51" s="54" t="s">
        <v>1193</v>
      </c>
      <c r="D51" s="55" t="s">
        <v>447</v>
      </c>
      <c r="E51" s="56" t="s">
        <v>776</v>
      </c>
      <c r="F51" s="116" t="b">
        <f>IF(ref_VehicleCurrency="",FALSE,TRUE)</f>
        <v>0</v>
      </c>
      <c r="G51" s="57" t="s">
        <v>1222</v>
      </c>
      <c r="H51" s="50"/>
      <c r="I51" s="50"/>
    </row>
    <row r="52" spans="1:9" x14ac:dyDescent="0.25">
      <c r="A52" s="50">
        <v>49</v>
      </c>
      <c r="B52" s="50" t="s">
        <v>1164</v>
      </c>
      <c r="C52" s="54" t="s">
        <v>1193</v>
      </c>
      <c r="D52" s="55" t="s">
        <v>447</v>
      </c>
      <c r="E52" s="56" t="s">
        <v>1274</v>
      </c>
      <c r="F52" s="117" t="b">
        <f>IF(ISBLANK(ref_VehicleCurrency),TRUE,IF(NOT(COUNTIF(lis_Currency,ref_VehicleCurrency)),FALSE,TRUE))</f>
        <v>1</v>
      </c>
      <c r="G52" s="57" t="s">
        <v>1222</v>
      </c>
      <c r="H52" s="50"/>
      <c r="I52" s="50"/>
    </row>
    <row r="53" spans="1:9" x14ac:dyDescent="0.25">
      <c r="A53" s="58">
        <v>50</v>
      </c>
      <c r="B53" s="60" t="s">
        <v>1164</v>
      </c>
      <c r="C53" s="54" t="s">
        <v>1194</v>
      </c>
      <c r="D53" s="55" t="s">
        <v>1161</v>
      </c>
      <c r="E53" s="56" t="s">
        <v>1162</v>
      </c>
      <c r="F53" s="116" t="b">
        <f>IF(ref_DebtIssuanceCurrencyDetails="",FALSE,TRUE)</f>
        <v>0</v>
      </c>
      <c r="G53" s="57" t="s">
        <v>1222</v>
      </c>
      <c r="H53" s="50"/>
      <c r="I53" s="50"/>
    </row>
    <row r="54" spans="1:9" ht="30" x14ac:dyDescent="0.25">
      <c r="A54" s="50">
        <v>51</v>
      </c>
      <c r="B54" s="60" t="s">
        <v>1164</v>
      </c>
      <c r="C54" s="54" t="s">
        <v>1194</v>
      </c>
      <c r="D54" s="55" t="s">
        <v>1243</v>
      </c>
      <c r="E54" s="56" t="s">
        <v>1163</v>
      </c>
      <c r="F54" s="116" t="b">
        <f>IF(AND(ref_DoesThisSPEIssueDebtSecurities="Yes",NOT(ref_DebtIssuanceCurrencyDetails="Yes")),FALSE,TRUE)</f>
        <v>1</v>
      </c>
      <c r="G54" s="57" t="s">
        <v>1222</v>
      </c>
      <c r="H54" s="50"/>
      <c r="I54" s="50"/>
    </row>
    <row r="55" spans="1:9" ht="30" x14ac:dyDescent="0.25">
      <c r="A55" s="58">
        <v>52</v>
      </c>
      <c r="B55" s="50" t="s">
        <v>1164</v>
      </c>
      <c r="C55" s="54" t="s">
        <v>1194</v>
      </c>
      <c r="D55" s="55" t="s">
        <v>1161</v>
      </c>
      <c r="E55" s="56" t="s">
        <v>1286</v>
      </c>
      <c r="F55" s="117" t="b">
        <f>IF(ISBLANK(ref_DebtIssuanceCurrencyDetails),TRUE,IF(NOT(COUNTIF(lis_YesNo,ref_DebtIssuanceCurrencyDetails)),FALSE,TRUE))</f>
        <v>1</v>
      </c>
      <c r="G55" s="57" t="s">
        <v>1222</v>
      </c>
      <c r="H55" s="50"/>
      <c r="I55" s="50"/>
    </row>
    <row r="56" spans="1:9" x14ac:dyDescent="0.25">
      <c r="A56" s="50">
        <v>53</v>
      </c>
      <c r="B56" s="50" t="s">
        <v>1164</v>
      </c>
      <c r="C56" s="54" t="s">
        <v>1217</v>
      </c>
      <c r="D56" s="61" t="s">
        <v>466</v>
      </c>
      <c r="E56" s="56" t="s">
        <v>1287</v>
      </c>
      <c r="F56" s="117" t="b">
        <f>IF(ISBLANK(ref_OrphanStructure),TRUE,IF(NOT(COUNTIF(lis_YesNo,ref_OrphanStructure)),FALSE,TRUE))</f>
        <v>1</v>
      </c>
      <c r="G56" s="57" t="s">
        <v>1222</v>
      </c>
      <c r="H56" s="50"/>
      <c r="I56" s="50"/>
    </row>
    <row r="57" spans="1:9" ht="30" x14ac:dyDescent="0.25">
      <c r="A57" s="58">
        <v>54</v>
      </c>
      <c r="B57" s="60" t="s">
        <v>1164</v>
      </c>
      <c r="C57" s="54" t="s">
        <v>1330</v>
      </c>
      <c r="D57" s="64" t="s">
        <v>1241</v>
      </c>
      <c r="E57" s="63" t="s">
        <v>555</v>
      </c>
      <c r="F57" s="116" t="b">
        <f>IF(AND(ref_OrphanStructure="Yes",NOT(ref_Consolidation="No")),FALSE,TRUE)</f>
        <v>1</v>
      </c>
      <c r="G57" s="57" t="s">
        <v>1222</v>
      </c>
      <c r="H57" s="50"/>
      <c r="I57" s="50"/>
    </row>
    <row r="58" spans="1:9" x14ac:dyDescent="0.25">
      <c r="A58" s="50">
        <v>55</v>
      </c>
      <c r="B58" s="60" t="s">
        <v>1164</v>
      </c>
      <c r="C58" s="54" t="s">
        <v>1195</v>
      </c>
      <c r="D58" s="55" t="s">
        <v>467</v>
      </c>
      <c r="E58" s="56" t="s">
        <v>777</v>
      </c>
      <c r="F58" s="116" t="b">
        <f>IF(ref_MultiVehicleStructure="",FALSE,TRUE)</f>
        <v>0</v>
      </c>
      <c r="G58" s="57" t="s">
        <v>1222</v>
      </c>
      <c r="H58" s="50"/>
      <c r="I58" s="50"/>
    </row>
    <row r="59" spans="1:9" x14ac:dyDescent="0.25">
      <c r="A59" s="58">
        <v>56</v>
      </c>
      <c r="B59" s="50" t="s">
        <v>1164</v>
      </c>
      <c r="C59" s="54" t="s">
        <v>1195</v>
      </c>
      <c r="D59" s="61" t="s">
        <v>467</v>
      </c>
      <c r="E59" s="56" t="s">
        <v>1288</v>
      </c>
      <c r="F59" s="117" t="b">
        <f>IF(ISBLANK(ref_MultiVehicleStructure),TRUE,IF(NOT(COUNTIF(lis_YesNo,ref_MultiVehicleStructure)),FALSE,TRUE))</f>
        <v>1</v>
      </c>
      <c r="G59" s="57" t="s">
        <v>1222</v>
      </c>
      <c r="H59" s="50"/>
      <c r="I59" s="50"/>
    </row>
    <row r="60" spans="1:9" x14ac:dyDescent="0.25">
      <c r="A60" s="50">
        <v>57</v>
      </c>
      <c r="B60" s="60" t="s">
        <v>1164</v>
      </c>
      <c r="C60" s="54" t="s">
        <v>1178</v>
      </c>
      <c r="D60" s="55" t="s">
        <v>491</v>
      </c>
      <c r="E60" s="56" t="s">
        <v>778</v>
      </c>
      <c r="F60" s="116" t="b">
        <f>IF(ref_OriginatorOfAssets="",FALSE,TRUE)</f>
        <v>0</v>
      </c>
      <c r="G60" s="57" t="s">
        <v>1222</v>
      </c>
      <c r="H60" s="50"/>
      <c r="I60" s="50"/>
    </row>
    <row r="61" spans="1:9" ht="30" x14ac:dyDescent="0.25">
      <c r="A61" s="58">
        <v>58</v>
      </c>
      <c r="B61" s="50" t="s">
        <v>1164</v>
      </c>
      <c r="C61" s="54" t="s">
        <v>1178</v>
      </c>
      <c r="D61" s="55" t="s">
        <v>491</v>
      </c>
      <c r="E61" s="56" t="s">
        <v>1271</v>
      </c>
      <c r="F61" s="117" t="b">
        <f>IF(ISBLANK(ref_OriginatorOfAssets),TRUE,IF(NOT(COUNTIF(lis_OriginatorOfAssets,ref_OriginatorOfAssets)),FALSE,TRUE))</f>
        <v>1</v>
      </c>
      <c r="G61" s="57" t="s">
        <v>1222</v>
      </c>
      <c r="H61" s="50"/>
      <c r="I61" s="50"/>
    </row>
    <row r="62" spans="1:9" x14ac:dyDescent="0.25">
      <c r="A62" s="50">
        <v>59</v>
      </c>
      <c r="B62" s="60" t="s">
        <v>1164</v>
      </c>
      <c r="C62" s="54" t="s">
        <v>1196</v>
      </c>
      <c r="D62" s="55" t="s">
        <v>873</v>
      </c>
      <c r="E62" s="56" t="s">
        <v>1245</v>
      </c>
      <c r="F62" s="116" t="b">
        <f>IF(ref_FirstReportAssetSize="",FALSE,TRUE)</f>
        <v>0</v>
      </c>
      <c r="G62" s="57" t="s">
        <v>1222</v>
      </c>
      <c r="H62" s="50"/>
      <c r="I62" s="50"/>
    </row>
    <row r="63" spans="1:9" ht="30" x14ac:dyDescent="0.25">
      <c r="A63" s="58">
        <v>60</v>
      </c>
      <c r="B63" s="50" t="s">
        <v>1164</v>
      </c>
      <c r="C63" s="54" t="s">
        <v>1196</v>
      </c>
      <c r="D63" s="55" t="s">
        <v>873</v>
      </c>
      <c r="E63" s="56" t="s">
        <v>1396</v>
      </c>
      <c r="F63" s="117" t="b">
        <f>IF(ISBLANK(ref_FirstReportAssetSize),TRUE,IF(NOT(AND(ISNUMBER(ref_FirstReportAssetSize),ref_FirstReportAssetSize&gt;=0,ref_FirstReportAssetSize&lt;1000001)),FALSE,TRUE))</f>
        <v>1</v>
      </c>
      <c r="G63" s="57" t="s">
        <v>1222</v>
      </c>
      <c r="H63" s="50"/>
      <c r="I63" s="50"/>
    </row>
    <row r="64" spans="1:9" x14ac:dyDescent="0.25">
      <c r="A64" s="50">
        <v>61</v>
      </c>
      <c r="B64" s="60" t="s">
        <v>1164</v>
      </c>
      <c r="C64" s="54" t="s">
        <v>1197</v>
      </c>
      <c r="D64" s="55" t="s">
        <v>874</v>
      </c>
      <c r="E64" s="56" t="s">
        <v>1246</v>
      </c>
      <c r="F64" s="116" t="b">
        <f>IF(ref_MaximumIssuanceSize="",FALSE,TRUE)</f>
        <v>0</v>
      </c>
      <c r="G64" s="57" t="s">
        <v>1222</v>
      </c>
      <c r="H64" s="50"/>
      <c r="I64" s="50"/>
    </row>
    <row r="65" spans="1:9" ht="30" x14ac:dyDescent="0.25">
      <c r="A65" s="58">
        <v>62</v>
      </c>
      <c r="B65" s="50" t="s">
        <v>1164</v>
      </c>
      <c r="C65" s="54" t="s">
        <v>1197</v>
      </c>
      <c r="D65" s="55" t="s">
        <v>874</v>
      </c>
      <c r="E65" s="56" t="s">
        <v>1397</v>
      </c>
      <c r="F65" s="117" t="b">
        <f>IF(ISBLANK(ref_MaximumIssuanceSize),TRUE,IF(NOT(AND(ISNUMBER(ref_MaximumIssuanceSize),ref_MaximumIssuanceSize&gt;=0,ref_MaximumIssuanceSize&lt;1000001)),FALSE,TRUE))</f>
        <v>1</v>
      </c>
      <c r="G65" s="57" t="s">
        <v>1222</v>
      </c>
      <c r="H65" s="50"/>
      <c r="I65" s="50"/>
    </row>
    <row r="66" spans="1:9" x14ac:dyDescent="0.25">
      <c r="A66" s="50">
        <v>63</v>
      </c>
      <c r="B66" s="60" t="s">
        <v>1164</v>
      </c>
      <c r="C66" s="54" t="s">
        <v>1198</v>
      </c>
      <c r="D66" s="55" t="s">
        <v>585</v>
      </c>
      <c r="E66" s="56" t="s">
        <v>779</v>
      </c>
      <c r="F66" s="116" t="b">
        <f>IF(ref_DoesThisSPEIssueDebtSecurities="",FALSE,TRUE)</f>
        <v>0</v>
      </c>
      <c r="G66" s="57" t="s">
        <v>1222</v>
      </c>
      <c r="H66" s="50"/>
      <c r="I66" s="50"/>
    </row>
    <row r="67" spans="1:9" ht="30" x14ac:dyDescent="0.25">
      <c r="A67" s="58">
        <v>64</v>
      </c>
      <c r="B67" s="50" t="s">
        <v>1164</v>
      </c>
      <c r="C67" s="54" t="s">
        <v>1198</v>
      </c>
      <c r="D67" s="61" t="s">
        <v>585</v>
      </c>
      <c r="E67" s="56" t="s">
        <v>1289</v>
      </c>
      <c r="F67" s="117" t="b">
        <f>IF(ISBLANK(ref_DoesThisSPEIssueDebtSecurities),TRUE,IF(NOT(COUNTIF(lis_YesNo,ref_DoesThisSPEIssueDebtSecurities)),FALSE,TRUE))</f>
        <v>1</v>
      </c>
      <c r="G67" s="57" t="s">
        <v>1222</v>
      </c>
      <c r="H67" s="50"/>
      <c r="I67" s="50"/>
    </row>
    <row r="68" spans="1:9" ht="30" x14ac:dyDescent="0.25">
      <c r="A68" s="50">
        <v>65</v>
      </c>
      <c r="B68" s="60" t="s">
        <v>1164</v>
      </c>
      <c r="C68" s="54" t="s">
        <v>1332</v>
      </c>
      <c r="D68" s="55" t="s">
        <v>1247</v>
      </c>
      <c r="E68" s="63" t="s">
        <v>788</v>
      </c>
      <c r="F68" s="116" t="b">
        <f>IF(AND(ref_DoesThisSPEIssueDebtSecurities="Yes",ref_IsThisSPEIssuedDebtListed=""),FALSE,TRUE)</f>
        <v>1</v>
      </c>
      <c r="G68" s="57" t="s">
        <v>1222</v>
      </c>
      <c r="H68" s="50"/>
      <c r="I68" s="50"/>
    </row>
    <row r="69" spans="1:9" ht="30" x14ac:dyDescent="0.25">
      <c r="A69" s="58">
        <v>66</v>
      </c>
      <c r="B69" s="50" t="s">
        <v>1164</v>
      </c>
      <c r="C69" s="54" t="s">
        <v>1199</v>
      </c>
      <c r="D69" s="61" t="s">
        <v>586</v>
      </c>
      <c r="E69" s="56" t="s">
        <v>1290</v>
      </c>
      <c r="F69" s="117" t="b">
        <f>IF(ISBLANK(ref_IsThisSPEIssuedDebtListed),TRUE,IF(NOT(COUNTIF(lis_YesNo,ref_IsThisSPEIssuedDebtListed)),FALSE,TRUE))</f>
        <v>1</v>
      </c>
      <c r="G69" s="57" t="s">
        <v>1222</v>
      </c>
      <c r="H69" s="50"/>
      <c r="I69" s="50"/>
    </row>
    <row r="70" spans="1:9" ht="30" x14ac:dyDescent="0.25">
      <c r="A70" s="50">
        <v>67</v>
      </c>
      <c r="B70" s="60" t="s">
        <v>1164</v>
      </c>
      <c r="C70" s="54" t="s">
        <v>1333</v>
      </c>
      <c r="D70" s="55" t="s">
        <v>1248</v>
      </c>
      <c r="E70" s="63" t="s">
        <v>761</v>
      </c>
      <c r="F70" s="116" t="b">
        <f>IF(AND(ref_IsThisSPEIssuedDebtListed="Yes",ref_LocationOfExchangeWhereListed=""),FALSE,TRUE)</f>
        <v>1</v>
      </c>
      <c r="G70" s="57" t="s">
        <v>1222</v>
      </c>
      <c r="H70" s="50"/>
      <c r="I70" s="50"/>
    </row>
    <row r="71" spans="1:9" ht="30" x14ac:dyDescent="0.25">
      <c r="A71" s="58">
        <v>68</v>
      </c>
      <c r="B71" s="50" t="s">
        <v>1164</v>
      </c>
      <c r="C71" s="54" t="s">
        <v>1200</v>
      </c>
      <c r="D71" s="55" t="s">
        <v>584</v>
      </c>
      <c r="E71" s="56" t="s">
        <v>1272</v>
      </c>
      <c r="F71" s="117" t="b">
        <f>IF(ISBLANK(ref_LocationOfExchangeWhereListed),TRUE,IF(NOT(COUNTIF(lis_LocationOfExchangeWhereListed,ref_LocationOfExchangeWhereListed)),FALSE,TRUE))</f>
        <v>1</v>
      </c>
      <c r="G71" s="57" t="s">
        <v>1222</v>
      </c>
      <c r="H71" s="50"/>
      <c r="I71" s="50"/>
    </row>
    <row r="72" spans="1:9" x14ac:dyDescent="0.25">
      <c r="A72" s="50">
        <v>69</v>
      </c>
      <c r="B72" s="60" t="s">
        <v>1164</v>
      </c>
      <c r="C72" s="54" t="s">
        <v>1177</v>
      </c>
      <c r="D72" s="64" t="s">
        <v>471</v>
      </c>
      <c r="E72" s="56" t="s">
        <v>882</v>
      </c>
      <c r="F72" s="116" t="b">
        <f>IF(ref_Consolidation="",FALSE,TRUE)</f>
        <v>0</v>
      </c>
      <c r="G72" s="57" t="s">
        <v>1222</v>
      </c>
      <c r="H72" s="50"/>
      <c r="I72" s="50"/>
    </row>
    <row r="73" spans="1:9" x14ac:dyDescent="0.25">
      <c r="A73" s="58">
        <v>70</v>
      </c>
      <c r="B73" s="50" t="s">
        <v>1164</v>
      </c>
      <c r="C73" s="54" t="s">
        <v>1177</v>
      </c>
      <c r="D73" s="61" t="s">
        <v>471</v>
      </c>
      <c r="E73" s="56" t="s">
        <v>1291</v>
      </c>
      <c r="F73" s="117" t="b">
        <f>IF(ISBLANK(ref_Consolidation),TRUE,IF(NOT(COUNTIF(lis_YesNo,ref_Consolidation)),FALSE,TRUE))</f>
        <v>1</v>
      </c>
      <c r="G73" s="57" t="s">
        <v>1222</v>
      </c>
      <c r="H73" s="50"/>
      <c r="I73" s="50"/>
    </row>
    <row r="74" spans="1:9" x14ac:dyDescent="0.25">
      <c r="A74" s="50">
        <v>71</v>
      </c>
      <c r="B74" s="60" t="s">
        <v>1164</v>
      </c>
      <c r="C74" s="54" t="s">
        <v>1211</v>
      </c>
      <c r="D74" s="55" t="s">
        <v>504</v>
      </c>
      <c r="E74" s="56" t="s">
        <v>787</v>
      </c>
      <c r="F74" s="116" t="b">
        <f>IF(ref_AccountancyStandard="",FALSE,TRUE)</f>
        <v>0</v>
      </c>
      <c r="G74" s="57" t="s">
        <v>1222</v>
      </c>
      <c r="H74" s="50"/>
      <c r="I74" s="50"/>
    </row>
    <row r="75" spans="1:9" ht="30" x14ac:dyDescent="0.25">
      <c r="A75" s="58">
        <v>72</v>
      </c>
      <c r="B75" s="50" t="s">
        <v>1164</v>
      </c>
      <c r="C75" s="54" t="s">
        <v>1211</v>
      </c>
      <c r="D75" s="55" t="s">
        <v>504</v>
      </c>
      <c r="E75" s="56" t="s">
        <v>1273</v>
      </c>
      <c r="F75" s="117" t="b">
        <f>IF(ISBLANK(ref_AccountancyStandard),TRUE,IF(NOT(COUNTIF(lis_AccountancyStandard,ref_AccountancyStandard)),FALSE,TRUE))</f>
        <v>1</v>
      </c>
      <c r="G75" s="57" t="s">
        <v>1222</v>
      </c>
      <c r="H75" s="50"/>
      <c r="I75" s="50"/>
    </row>
    <row r="76" spans="1:9" x14ac:dyDescent="0.25">
      <c r="A76" s="50">
        <v>73</v>
      </c>
      <c r="B76" s="60" t="s">
        <v>1164</v>
      </c>
      <c r="C76" s="54" t="s">
        <v>1212</v>
      </c>
      <c r="D76" s="55" t="s">
        <v>469</v>
      </c>
      <c r="E76" s="56" t="s">
        <v>883</v>
      </c>
      <c r="F76" s="116" t="b">
        <f>IF(ref_NonConsolidatedInterestDisclosure="",FALSE,TRUE)</f>
        <v>0</v>
      </c>
      <c r="G76" s="57" t="s">
        <v>1222</v>
      </c>
      <c r="H76" s="50"/>
      <c r="I76" s="50"/>
    </row>
    <row r="77" spans="1:9" ht="30" x14ac:dyDescent="0.25">
      <c r="A77" s="58">
        <v>74</v>
      </c>
      <c r="B77" s="50" t="s">
        <v>1164</v>
      </c>
      <c r="C77" s="54" t="s">
        <v>1212</v>
      </c>
      <c r="D77" s="61" t="s">
        <v>469</v>
      </c>
      <c r="E77" s="56" t="s">
        <v>1292</v>
      </c>
      <c r="F77" s="117" t="b">
        <f>IF(ISBLANK(ref_NonConsolidatedInterestDisclosure),TRUE,IF(NOT(COUNTIF(lis_YesNo,ref_NonConsolidatedInterestDisclosure)),FALSE,TRUE))</f>
        <v>1</v>
      </c>
      <c r="G77" s="57" t="s">
        <v>1222</v>
      </c>
      <c r="H77" s="50"/>
      <c r="I77" s="50"/>
    </row>
    <row r="78" spans="1:9" ht="30" x14ac:dyDescent="0.25">
      <c r="A78" s="50">
        <v>75</v>
      </c>
      <c r="B78" s="50" t="s">
        <v>1164</v>
      </c>
      <c r="C78" s="54" t="s">
        <v>1201</v>
      </c>
      <c r="D78" s="61" t="s">
        <v>558</v>
      </c>
      <c r="E78" s="56" t="s">
        <v>1293</v>
      </c>
      <c r="F78" s="117" t="b">
        <f>IF(ISBLANK(ref_Q1),TRUE,IF(NOT(COUNTIF(lis_YesNo,ref_Q1)),FALSE,TRUE))</f>
        <v>1</v>
      </c>
      <c r="G78" s="57" t="s">
        <v>1222</v>
      </c>
      <c r="H78" s="50"/>
      <c r="I78" s="50"/>
    </row>
    <row r="79" spans="1:9" ht="30" x14ac:dyDescent="0.25">
      <c r="A79" s="58">
        <v>76</v>
      </c>
      <c r="B79" s="50" t="s">
        <v>1164</v>
      </c>
      <c r="C79" s="54" t="s">
        <v>1202</v>
      </c>
      <c r="D79" s="61" t="s">
        <v>559</v>
      </c>
      <c r="E79" s="56" t="s">
        <v>1294</v>
      </c>
      <c r="F79" s="117" t="b">
        <f>IF(ISBLANK(ref_Q2),TRUE,IF(NOT(COUNTIF(lis_YesNo,ref_Q2)),FALSE,TRUE))</f>
        <v>1</v>
      </c>
      <c r="G79" s="57" t="s">
        <v>1222</v>
      </c>
      <c r="H79" s="50"/>
      <c r="I79" s="50"/>
    </row>
    <row r="80" spans="1:9" ht="30" x14ac:dyDescent="0.25">
      <c r="A80" s="50">
        <v>77</v>
      </c>
      <c r="B80" s="50" t="s">
        <v>1164</v>
      </c>
      <c r="C80" s="54" t="s">
        <v>1203</v>
      </c>
      <c r="D80" s="61" t="s">
        <v>513</v>
      </c>
      <c r="E80" s="62" t="s">
        <v>1304</v>
      </c>
      <c r="F80" s="117" t="b">
        <f>IF(ISBLANK(ref_ThirdPartySTSVerificationAgent),TRUE,IF(NOT(AND(ISTEXT(ref_ThirdPartySTSVerificationAgent),LEN(ref_ThirdPartySTSVerificationAgent)&lt;251)),FALSE,TRUE))</f>
        <v>1</v>
      </c>
      <c r="G80" s="57" t="s">
        <v>1222</v>
      </c>
      <c r="H80" s="50"/>
      <c r="I80" s="50"/>
    </row>
    <row r="81" spans="1:9" ht="30" x14ac:dyDescent="0.25">
      <c r="A81" s="58">
        <v>78</v>
      </c>
      <c r="B81" s="50" t="s">
        <v>1164</v>
      </c>
      <c r="C81" s="54" t="s">
        <v>1204</v>
      </c>
      <c r="D81" s="61" t="s">
        <v>560</v>
      </c>
      <c r="E81" s="56" t="s">
        <v>1295</v>
      </c>
      <c r="F81" s="117" t="b">
        <f>IF(ISBLANK(ref_Q3),TRUE,IF(NOT(COUNTIF(lis_YesNo,ref_Q3)),FALSE,TRUE))</f>
        <v>1</v>
      </c>
      <c r="G81" s="57" t="s">
        <v>1222</v>
      </c>
      <c r="H81" s="50"/>
      <c r="I81" s="50"/>
    </row>
    <row r="82" spans="1:9" ht="30" x14ac:dyDescent="0.25">
      <c r="A82" s="50">
        <v>79</v>
      </c>
      <c r="B82" s="50" t="s">
        <v>1164</v>
      </c>
      <c r="C82" s="54" t="s">
        <v>1205</v>
      </c>
      <c r="D82" s="61" t="s">
        <v>561</v>
      </c>
      <c r="E82" s="62" t="s">
        <v>1305</v>
      </c>
      <c r="F82" s="117" t="b">
        <f>IF(ISBLANK(ref_Q4),TRUE,IF(NOT(AND(ISTEXT(ref_Q4),LEN(ref_Q4)&lt;251)),FALSE,TRUE))</f>
        <v>1</v>
      </c>
      <c r="G82" s="57" t="s">
        <v>1222</v>
      </c>
      <c r="H82" s="50"/>
      <c r="I82" s="50"/>
    </row>
    <row r="83" spans="1:9" ht="30" x14ac:dyDescent="0.25">
      <c r="A83" s="58">
        <v>80</v>
      </c>
      <c r="B83" s="50" t="s">
        <v>1164</v>
      </c>
      <c r="C83" s="54" t="s">
        <v>1206</v>
      </c>
      <c r="D83" s="61" t="s">
        <v>562</v>
      </c>
      <c r="E83" s="56" t="s">
        <v>1296</v>
      </c>
      <c r="F83" s="117" t="b">
        <f>IF(ISBLANK(ref_Q5),TRUE,IF(NOT(COUNTIF(lis_YesNo,ref_Q5)),FALSE,TRUE))</f>
        <v>1</v>
      </c>
      <c r="G83" s="57" t="s">
        <v>1222</v>
      </c>
      <c r="H83" s="50"/>
      <c r="I83" s="50"/>
    </row>
    <row r="84" spans="1:9" ht="30" x14ac:dyDescent="0.25">
      <c r="A84" s="50">
        <v>81</v>
      </c>
      <c r="B84" s="50" t="s">
        <v>1164</v>
      </c>
      <c r="C84" s="54" t="s">
        <v>1207</v>
      </c>
      <c r="D84" s="61" t="s">
        <v>563</v>
      </c>
      <c r="E84" s="56" t="s">
        <v>1381</v>
      </c>
      <c r="F84" s="117" t="b">
        <f>IF(ISBLANK(ref_Q5.1),TRUE,IF(NOT(COUNTIF(lis_Q5.1,ref_Q5.1)),FALSE,TRUE))</f>
        <v>1</v>
      </c>
      <c r="G84" s="57" t="s">
        <v>1222</v>
      </c>
      <c r="H84" s="50"/>
      <c r="I84" s="50"/>
    </row>
    <row r="85" spans="1:9" ht="30" x14ac:dyDescent="0.25">
      <c r="A85" s="58">
        <v>82</v>
      </c>
      <c r="B85" s="50" t="s">
        <v>1164</v>
      </c>
      <c r="C85" s="54" t="s">
        <v>1208</v>
      </c>
      <c r="D85" s="61" t="s">
        <v>564</v>
      </c>
      <c r="E85" s="56" t="s">
        <v>1297</v>
      </c>
      <c r="F85" s="117" t="b">
        <f>IF(ISBLANK(ref_Q6),TRUE,IF(NOT(COUNTIF(lis_YesNo,ref_Q6)),FALSE,TRUE))</f>
        <v>1</v>
      </c>
      <c r="G85" s="57" t="s">
        <v>1222</v>
      </c>
      <c r="H85" s="50"/>
      <c r="I85" s="50"/>
    </row>
    <row r="86" spans="1:9" ht="30" x14ac:dyDescent="0.25">
      <c r="A86" s="50">
        <v>83</v>
      </c>
      <c r="B86" s="50" t="s">
        <v>1164</v>
      </c>
      <c r="C86" s="54" t="s">
        <v>1209</v>
      </c>
      <c r="D86" s="61" t="s">
        <v>565</v>
      </c>
      <c r="E86" s="56" t="s">
        <v>1298</v>
      </c>
      <c r="F86" s="117" t="b">
        <f>IF(ISBLANK(ref_Q7),TRUE,IF(NOT(COUNTIF(lis_YesNo,ref_Q7)),FALSE,TRUE))</f>
        <v>1</v>
      </c>
      <c r="G86" s="57" t="s">
        <v>1222</v>
      </c>
      <c r="H86" s="50"/>
      <c r="I86" s="50"/>
    </row>
    <row r="87" spans="1:9" ht="30" x14ac:dyDescent="0.25">
      <c r="A87" s="58">
        <v>84</v>
      </c>
      <c r="B87" s="50" t="s">
        <v>1164</v>
      </c>
      <c r="C87" s="54" t="s">
        <v>1210</v>
      </c>
      <c r="D87" s="61" t="s">
        <v>566</v>
      </c>
      <c r="E87" s="56" t="s">
        <v>1299</v>
      </c>
      <c r="F87" s="117" t="b">
        <f>IF(ISBLANK(ref_Q8),TRUE,IF(NOT(COUNTIF(lis_YesNo,ref_Q8)),FALSE,TRUE))</f>
        <v>1</v>
      </c>
      <c r="G87" s="57" t="s">
        <v>1222</v>
      </c>
      <c r="H87" s="50"/>
      <c r="I87" s="50"/>
    </row>
    <row r="88" spans="1:9" ht="30" x14ac:dyDescent="0.25">
      <c r="A88" s="50">
        <v>85</v>
      </c>
      <c r="B88" s="50" t="s">
        <v>1164</v>
      </c>
      <c r="C88" s="54" t="s">
        <v>1306</v>
      </c>
      <c r="D88" s="55" t="s">
        <v>1227</v>
      </c>
      <c r="E88" s="63" t="s">
        <v>547</v>
      </c>
      <c r="F88" s="116" t="b">
        <f>IF(AND(NOT(ref_LegalEntityType="Financial Vehicle Corporation (FVC)"),NOT(ref_SecuritisationDeclaration="")),FALSE,TRUE)</f>
        <v>1</v>
      </c>
      <c r="G88" s="57" t="s">
        <v>1222</v>
      </c>
      <c r="H88" s="50"/>
      <c r="I88" s="50"/>
    </row>
    <row r="89" spans="1:9" ht="30" x14ac:dyDescent="0.25">
      <c r="A89" s="58">
        <v>86</v>
      </c>
      <c r="B89" s="60" t="s">
        <v>1164</v>
      </c>
      <c r="C89" s="54" t="s">
        <v>1306</v>
      </c>
      <c r="D89" s="55" t="s">
        <v>1227</v>
      </c>
      <c r="E89" s="63" t="s">
        <v>872</v>
      </c>
      <c r="F89" s="116" t="b">
        <f>IF(AND(ref_LegalEntityType="Financial Vehicle Corporation (FVC)",ref_SecuritisationDeclaration=""),FALSE,TRUE)</f>
        <v>1</v>
      </c>
      <c r="G89" s="57" t="s">
        <v>1222</v>
      </c>
      <c r="H89" s="50"/>
      <c r="I89" s="50"/>
    </row>
    <row r="90" spans="1:9" ht="45" x14ac:dyDescent="0.25">
      <c r="A90" s="50">
        <v>87</v>
      </c>
      <c r="B90" s="60" t="s">
        <v>1164</v>
      </c>
      <c r="C90" s="54" t="s">
        <v>1323</v>
      </c>
      <c r="D90" s="64" t="s">
        <v>1229</v>
      </c>
      <c r="E90" s="56" t="s">
        <v>887</v>
      </c>
      <c r="F90" s="116" t="b">
        <f>IF(AND(ref_LegalEntityType="Financial Vehicle Corporation (FVC)",ref_SecuritisationDeclaration="Yes",ref_PrivateOrPublicSecuritisation=""),FALSE,TRUE)</f>
        <v>1</v>
      </c>
      <c r="G90" s="57" t="s">
        <v>1222</v>
      </c>
      <c r="H90" s="50"/>
      <c r="I90" s="50"/>
    </row>
    <row r="91" spans="1:9" ht="45" x14ac:dyDescent="0.25">
      <c r="A91" s="58">
        <v>88</v>
      </c>
      <c r="B91" s="60" t="s">
        <v>1164</v>
      </c>
      <c r="C91" s="54" t="s">
        <v>1324</v>
      </c>
      <c r="D91" s="64" t="s">
        <v>1231</v>
      </c>
      <c r="E91" s="56" t="s">
        <v>888</v>
      </c>
      <c r="F91" s="116" t="b">
        <f>IF(AND(ref_LegalEntityType="Financial Vehicle Corporation (FVC)",ref_SecuritisationDeclaration="Yes",ref_NatureOfSecuritisation=""),FALSE,TRUE)</f>
        <v>1</v>
      </c>
      <c r="G91" s="57" t="s">
        <v>1222</v>
      </c>
      <c r="H91" s="50"/>
      <c r="I91" s="50"/>
    </row>
    <row r="92" spans="1:9" ht="45" x14ac:dyDescent="0.25">
      <c r="A92" s="50">
        <v>89</v>
      </c>
      <c r="B92" s="60" t="s">
        <v>1164</v>
      </c>
      <c r="C92" s="54" t="s">
        <v>1325</v>
      </c>
      <c r="D92" s="64" t="s">
        <v>1234</v>
      </c>
      <c r="E92" s="56" t="s">
        <v>889</v>
      </c>
      <c r="F92" s="116" t="b">
        <f>IF(AND(ref_LegalEntityType="Financial Vehicle Corporation (FVC)",ref_SecuritisationDeclaration="Yes",ref_NatureOfSecuritisationDescription=""),FALSE,TRUE)</f>
        <v>1</v>
      </c>
      <c r="G92" s="57" t="s">
        <v>1222</v>
      </c>
      <c r="H92" s="50"/>
      <c r="I92" s="50"/>
    </row>
    <row r="93" spans="1:9" ht="60" x14ac:dyDescent="0.25">
      <c r="A93" s="58">
        <v>90</v>
      </c>
      <c r="B93" s="60" t="s">
        <v>1164</v>
      </c>
      <c r="C93" s="54" t="s">
        <v>1326</v>
      </c>
      <c r="D93" s="64" t="s">
        <v>1235</v>
      </c>
      <c r="E93" s="56" t="s">
        <v>890</v>
      </c>
      <c r="F93" s="116" t="b">
        <f>IF(AND(ref_LegalEntityType="Financial Vehicle Corporation (FVC)",ref_SecuritisationDeclaration="Yes",ref_SecuritisationReportedToSR=""),FALSE,TRUE)</f>
        <v>1</v>
      </c>
      <c r="G93" s="57" t="s">
        <v>1222</v>
      </c>
      <c r="H93" s="50"/>
      <c r="I93" s="50"/>
    </row>
    <row r="94" spans="1:9" ht="75" x14ac:dyDescent="0.25">
      <c r="A94" s="50">
        <v>91</v>
      </c>
      <c r="B94" s="60" t="s">
        <v>1164</v>
      </c>
      <c r="C94" s="54" t="s">
        <v>1328</v>
      </c>
      <c r="D94" s="55" t="s">
        <v>1262</v>
      </c>
      <c r="E94" s="63" t="s">
        <v>893</v>
      </c>
      <c r="F94" s="116" t="b">
        <f>IF(AND(ref_LegalEntityType="Financial Vehicle Corporation (FVC)",ref_SecuritisationDeclaration="Yes",ref_SecuritisationReportedToSR="Yes",ref_NameOfSecuritisationRepository=""),FALSE,TRUE)</f>
        <v>1</v>
      </c>
      <c r="G94" s="57" t="s">
        <v>1222</v>
      </c>
      <c r="H94" s="50"/>
      <c r="I94" s="50"/>
    </row>
    <row r="95" spans="1:9" ht="45" x14ac:dyDescent="0.25">
      <c r="A95" s="58">
        <v>92</v>
      </c>
      <c r="B95" s="60" t="s">
        <v>1164</v>
      </c>
      <c r="C95" s="54" t="s">
        <v>1327</v>
      </c>
      <c r="D95" s="64" t="s">
        <v>1236</v>
      </c>
      <c r="E95" s="56" t="s">
        <v>891</v>
      </c>
      <c r="F95" s="116" t="b">
        <f>IF(AND(ref_LegalEntityType="Financial Vehicle Corporation (FVC)",ref_SecuritisationDeclaration="Yes",ref_UnderlyingExposureClassification=""),FALSE,TRUE)</f>
        <v>1</v>
      </c>
      <c r="G95" s="57" t="s">
        <v>1222</v>
      </c>
      <c r="H95" s="50"/>
      <c r="I95" s="50"/>
    </row>
    <row r="96" spans="1:9" ht="45" x14ac:dyDescent="0.25">
      <c r="A96" s="50">
        <v>93</v>
      </c>
      <c r="B96" s="60" t="s">
        <v>1164</v>
      </c>
      <c r="C96" s="54" t="s">
        <v>1322</v>
      </c>
      <c r="D96" s="64" t="s">
        <v>1261</v>
      </c>
      <c r="E96" s="56" t="s">
        <v>892</v>
      </c>
      <c r="F96" s="116" t="b">
        <f>IF(AND(ref_LegalEntityType="Financial Vehicle Corporation (FVC)",ref_SecuritisationDeclaration="Yes",ref_NumberOfTranches=""),FALSE,TRUE)</f>
        <v>1</v>
      </c>
      <c r="G96" s="57" t="s">
        <v>1222</v>
      </c>
      <c r="H96" s="50"/>
      <c r="I96" s="50"/>
    </row>
    <row r="97" spans="1:9" ht="30" x14ac:dyDescent="0.25">
      <c r="A97" s="58">
        <v>94</v>
      </c>
      <c r="B97" s="60" t="s">
        <v>1164</v>
      </c>
      <c r="C97" s="54" t="s">
        <v>1307</v>
      </c>
      <c r="D97" s="55" t="s">
        <v>1228</v>
      </c>
      <c r="E97" s="63" t="s">
        <v>548</v>
      </c>
      <c r="F97" s="116" t="b">
        <f>IF(AND(NOT(ref_LegalEntityType="Financial Vehicle Corporation (FVC)"),NOT(ref_PrivateOrPublicSecuritisation="")),FALSE,TRUE)</f>
        <v>1</v>
      </c>
      <c r="G97" s="57" t="s">
        <v>1222</v>
      </c>
      <c r="H97" s="50"/>
      <c r="I97" s="50"/>
    </row>
    <row r="98" spans="1:9" ht="30" x14ac:dyDescent="0.25">
      <c r="A98" s="50">
        <v>95</v>
      </c>
      <c r="B98" s="60" t="s">
        <v>1164</v>
      </c>
      <c r="C98" s="54" t="s">
        <v>1308</v>
      </c>
      <c r="D98" s="55" t="s">
        <v>1230</v>
      </c>
      <c r="E98" s="63" t="s">
        <v>549</v>
      </c>
      <c r="F98" s="116" t="b">
        <f>IF(AND(NOT(ref_LegalEntityType="Financial Vehicle Corporation (FVC)"),NOT(ref_NatureOfSecuritisation="")),FALSE,TRUE)</f>
        <v>1</v>
      </c>
      <c r="G98" s="57" t="s">
        <v>1222</v>
      </c>
      <c r="H98" s="50"/>
      <c r="I98" s="50"/>
    </row>
    <row r="99" spans="1:9" ht="30" x14ac:dyDescent="0.25">
      <c r="A99" s="58">
        <v>96</v>
      </c>
      <c r="B99" s="60" t="s">
        <v>1164</v>
      </c>
      <c r="C99" s="54" t="s">
        <v>1309</v>
      </c>
      <c r="D99" s="55" t="s">
        <v>1232</v>
      </c>
      <c r="E99" s="63" t="s">
        <v>550</v>
      </c>
      <c r="F99" s="116" t="b">
        <f>IF(AND(NOT(ref_LegalEntityType="Financial Vehicle Corporation (FVC)"),NOT(ref_NatureOfSecuritisationDescription="")),FALSE,TRUE)</f>
        <v>1</v>
      </c>
      <c r="G99" s="57" t="s">
        <v>1222</v>
      </c>
      <c r="H99" s="50"/>
      <c r="I99" s="50"/>
    </row>
    <row r="100" spans="1:9" ht="45" x14ac:dyDescent="0.25">
      <c r="A100" s="50">
        <v>97</v>
      </c>
      <c r="B100" s="60" t="s">
        <v>1164</v>
      </c>
      <c r="C100" s="54" t="s">
        <v>1310</v>
      </c>
      <c r="D100" s="55" t="s">
        <v>1233</v>
      </c>
      <c r="E100" s="63" t="s">
        <v>551</v>
      </c>
      <c r="F100" s="116" t="b">
        <f>IF(AND(NOT(ref_LegalEntityType="Financial Vehicle Corporation (FVC)"),NOT(ref_SecuritisationReportedToSR="")),FALSE,TRUE)</f>
        <v>1</v>
      </c>
      <c r="G100" s="57" t="s">
        <v>1222</v>
      </c>
      <c r="H100" s="50"/>
      <c r="I100" s="50"/>
    </row>
    <row r="101" spans="1:9" ht="30" x14ac:dyDescent="0.25">
      <c r="A101" s="58">
        <v>98</v>
      </c>
      <c r="B101" s="60" t="s">
        <v>1164</v>
      </c>
      <c r="C101" s="54" t="s">
        <v>1311</v>
      </c>
      <c r="D101" s="55" t="s">
        <v>1237</v>
      </c>
      <c r="E101" s="63" t="s">
        <v>552</v>
      </c>
      <c r="F101" s="116" t="b">
        <f>IF(AND(NOT(ref_LegalEntityType="Financial Vehicle Corporation (FVC)"),NOT(ref_NameOfSecuritisationRepository="")),FALSE,TRUE)</f>
        <v>1</v>
      </c>
      <c r="G101" s="57" t="s">
        <v>1222</v>
      </c>
      <c r="H101" s="50"/>
      <c r="I101" s="50"/>
    </row>
    <row r="102" spans="1:9" ht="30" x14ac:dyDescent="0.25">
      <c r="A102" s="50">
        <v>99</v>
      </c>
      <c r="B102" s="60" t="s">
        <v>1164</v>
      </c>
      <c r="C102" s="54" t="s">
        <v>1312</v>
      </c>
      <c r="D102" s="55" t="s">
        <v>1238</v>
      </c>
      <c r="E102" s="63" t="s">
        <v>553</v>
      </c>
      <c r="F102" s="116" t="b">
        <f>IF(AND(NOT(ref_LegalEntityType="Financial Vehicle Corporation (FVC)"),NOT(ref_UnderlyingExposureClassification="")),FALSE,TRUE)</f>
        <v>1</v>
      </c>
      <c r="G102" s="57" t="s">
        <v>1222</v>
      </c>
      <c r="H102" s="50"/>
      <c r="I102" s="50"/>
    </row>
    <row r="103" spans="1:9" ht="30" x14ac:dyDescent="0.25">
      <c r="A103" s="58">
        <v>100</v>
      </c>
      <c r="B103" s="60" t="s">
        <v>1164</v>
      </c>
      <c r="C103" s="54" t="s">
        <v>1321</v>
      </c>
      <c r="D103" s="64" t="s">
        <v>1260</v>
      </c>
      <c r="E103" s="56" t="s">
        <v>762</v>
      </c>
      <c r="F103" s="116" t="b">
        <f>IF(AND(NOT(ref_LegalEntityType="Financial Vehicle Corporation (FVC)"),NOT(ref_NumberOfTranches="")),FALSE,TRUE)</f>
        <v>1</v>
      </c>
      <c r="G103" s="57" t="s">
        <v>1222</v>
      </c>
      <c r="H103" s="50"/>
      <c r="I103" s="50"/>
    </row>
    <row r="104" spans="1:9" ht="30" x14ac:dyDescent="0.25">
      <c r="A104" s="50">
        <v>101</v>
      </c>
      <c r="B104" s="60" t="s">
        <v>1164</v>
      </c>
      <c r="C104" s="54" t="s">
        <v>1313</v>
      </c>
      <c r="D104" s="55" t="s">
        <v>1239</v>
      </c>
      <c r="E104" s="63" t="s">
        <v>554</v>
      </c>
      <c r="F104" s="116" t="b">
        <f>IF(AND(NOT(ref_LegalEntityType="Financial Vehicle Corporation (FVC)"),NOT(ref_MIVDeclaration="")),FALSE,TRUE)</f>
        <v>1</v>
      </c>
      <c r="G104" s="57" t="s">
        <v>1222</v>
      </c>
      <c r="H104" s="50"/>
      <c r="I104" s="50"/>
    </row>
    <row r="105" spans="1:9" ht="30" x14ac:dyDescent="0.25">
      <c r="A105" s="58">
        <v>102</v>
      </c>
      <c r="B105" s="60" t="s">
        <v>1164</v>
      </c>
      <c r="C105" s="54" t="s">
        <v>1314</v>
      </c>
      <c r="D105" s="55" t="s">
        <v>1249</v>
      </c>
      <c r="E105" s="56" t="s">
        <v>780</v>
      </c>
      <c r="F105" s="116" t="b">
        <f>IF(AND(ref_LegalEntityType="Financial Vehicle Corporation (FVC)",ref_Q1=""),FALSE,TRUE)</f>
        <v>1</v>
      </c>
      <c r="G105" s="57" t="s">
        <v>1222</v>
      </c>
      <c r="H105" s="50"/>
      <c r="I105" s="50"/>
    </row>
    <row r="106" spans="1:9" ht="30" x14ac:dyDescent="0.25">
      <c r="A106" s="50">
        <v>103</v>
      </c>
      <c r="B106" s="60" t="s">
        <v>1164</v>
      </c>
      <c r="C106" s="54" t="s">
        <v>1315</v>
      </c>
      <c r="D106" s="55" t="s">
        <v>1250</v>
      </c>
      <c r="E106" s="56" t="s">
        <v>781</v>
      </c>
      <c r="F106" s="116" t="b">
        <f>IF(AND(ref_LegalEntityType="Financial Vehicle Corporation (FVC)",ref_Q2=""),FALSE,TRUE)</f>
        <v>1</v>
      </c>
      <c r="G106" s="57" t="s">
        <v>1222</v>
      </c>
      <c r="H106" s="50"/>
      <c r="I106" s="50"/>
    </row>
    <row r="107" spans="1:9" ht="45" x14ac:dyDescent="0.25">
      <c r="A107" s="58">
        <v>104</v>
      </c>
      <c r="B107" s="60" t="s">
        <v>1164</v>
      </c>
      <c r="C107" s="54" t="s">
        <v>1334</v>
      </c>
      <c r="D107" s="55" t="s">
        <v>1251</v>
      </c>
      <c r="E107" s="56" t="s">
        <v>881</v>
      </c>
      <c r="F107" s="116" t="b">
        <f>IF(AND(ref_LegalEntityType="Financial Vehicle Corporation (FVC)",ref_Q2="Yes",ref_ThirdPartySTSVerificationAgent=""),FALSE,TRUE)</f>
        <v>1</v>
      </c>
      <c r="G107" s="57" t="s">
        <v>1222</v>
      </c>
      <c r="H107" s="50"/>
      <c r="I107" s="50"/>
    </row>
    <row r="108" spans="1:9" ht="45" x14ac:dyDescent="0.25">
      <c r="A108" s="50">
        <v>105</v>
      </c>
      <c r="B108" s="60" t="s">
        <v>1164</v>
      </c>
      <c r="C108" s="54" t="s">
        <v>1316</v>
      </c>
      <c r="D108" s="55" t="s">
        <v>1252</v>
      </c>
      <c r="E108" s="56" t="s">
        <v>782</v>
      </c>
      <c r="F108" s="116" t="b">
        <f>IF(AND(ref_LegalEntityType="Financial Vehicle Corporation (FVC)",ref_Q3=""),FALSE,TRUE)</f>
        <v>1</v>
      </c>
      <c r="G108" s="57" t="s">
        <v>1222</v>
      </c>
      <c r="H108" s="50"/>
      <c r="I108" s="50"/>
    </row>
    <row r="109" spans="1:9" ht="60" x14ac:dyDescent="0.25">
      <c r="A109" s="58">
        <v>106</v>
      </c>
      <c r="B109" s="60" t="s">
        <v>1164</v>
      </c>
      <c r="C109" s="54" t="s">
        <v>1335</v>
      </c>
      <c r="D109" s="55" t="s">
        <v>1253</v>
      </c>
      <c r="E109" s="56" t="s">
        <v>896</v>
      </c>
      <c r="F109" s="116" t="b">
        <f>IF(AND(ref_LegalEntityType="Financial Vehicle Corporation (FVC)",ref_Q3="Yes",ref_Q4=""),FALSE,TRUE)</f>
        <v>1</v>
      </c>
      <c r="G109" s="57" t="s">
        <v>1222</v>
      </c>
      <c r="H109" s="50"/>
      <c r="I109" s="50"/>
    </row>
    <row r="110" spans="1:9" ht="45" x14ac:dyDescent="0.25">
      <c r="A110" s="50">
        <v>107</v>
      </c>
      <c r="B110" s="60" t="s">
        <v>1164</v>
      </c>
      <c r="C110" s="54" t="s">
        <v>1317</v>
      </c>
      <c r="D110" s="55" t="s">
        <v>1254</v>
      </c>
      <c r="E110" s="56" t="s">
        <v>783</v>
      </c>
      <c r="F110" s="116" t="b">
        <f>IF(AND(ref_LegalEntityType="Financial Vehicle Corporation (FVC)",ref_Q5=""),FALSE,TRUE)</f>
        <v>1</v>
      </c>
      <c r="G110" s="57" t="s">
        <v>1222</v>
      </c>
      <c r="H110" s="50"/>
      <c r="I110" s="50"/>
    </row>
    <row r="111" spans="1:9" ht="60" x14ac:dyDescent="0.25">
      <c r="A111" s="58">
        <v>108</v>
      </c>
      <c r="B111" s="60" t="s">
        <v>1164</v>
      </c>
      <c r="C111" s="54" t="s">
        <v>1336</v>
      </c>
      <c r="D111" s="55" t="s">
        <v>1255</v>
      </c>
      <c r="E111" s="56" t="s">
        <v>880</v>
      </c>
      <c r="F111" s="116" t="b">
        <f>IF(AND(ref_LegalEntityType="Financial Vehicle Corporation (FVC)",ref_Q5="Yes",ref_Q5.1=""),FALSE,TRUE)</f>
        <v>1</v>
      </c>
      <c r="G111" s="57" t="s">
        <v>1222</v>
      </c>
      <c r="H111" s="50"/>
      <c r="I111" s="50"/>
    </row>
    <row r="112" spans="1:9" ht="45" x14ac:dyDescent="0.25">
      <c r="A112" s="50">
        <v>109</v>
      </c>
      <c r="B112" s="60" t="s">
        <v>1164</v>
      </c>
      <c r="C112" s="54" t="s">
        <v>1318</v>
      </c>
      <c r="D112" s="55" t="s">
        <v>1256</v>
      </c>
      <c r="E112" s="56" t="s">
        <v>784</v>
      </c>
      <c r="F112" s="116" t="b">
        <f>IF(AND(ref_LegalEntityType="Financial Vehicle Corporation (FVC)",ref_Q6=""),FALSE,TRUE)</f>
        <v>1</v>
      </c>
      <c r="G112" s="57" t="s">
        <v>1222</v>
      </c>
      <c r="H112" s="50"/>
      <c r="I112" s="50"/>
    </row>
    <row r="113" spans="1:15" ht="30" x14ac:dyDescent="0.25">
      <c r="A113" s="58">
        <v>110</v>
      </c>
      <c r="B113" s="60" t="s">
        <v>1164</v>
      </c>
      <c r="C113" s="54" t="s">
        <v>1319</v>
      </c>
      <c r="D113" s="55" t="s">
        <v>1257</v>
      </c>
      <c r="E113" s="56" t="s">
        <v>785</v>
      </c>
      <c r="F113" s="116" t="b">
        <f>IF(AND(ref_LegalEntityType="Financial Vehicle Corporation (FVC)",ref_Q7=""),FALSE,TRUE)</f>
        <v>1</v>
      </c>
      <c r="G113" s="57" t="s">
        <v>1222</v>
      </c>
      <c r="H113" s="50"/>
      <c r="I113" s="65"/>
      <c r="J113" s="65"/>
      <c r="K113" s="65"/>
      <c r="L113" s="65"/>
      <c r="M113" s="65"/>
      <c r="N113" s="65"/>
      <c r="O113" s="65"/>
    </row>
    <row r="114" spans="1:15" ht="30" x14ac:dyDescent="0.25">
      <c r="A114" s="50">
        <v>111</v>
      </c>
      <c r="B114" s="60" t="s">
        <v>1164</v>
      </c>
      <c r="C114" s="54" t="s">
        <v>1320</v>
      </c>
      <c r="D114" s="55" t="s">
        <v>1258</v>
      </c>
      <c r="E114" s="56" t="s">
        <v>786</v>
      </c>
      <c r="F114" s="116" t="b">
        <f>IF(AND(ref_LegalEntityType="Financial Vehicle Corporation (FVC)",ref_Q8=""),FALSE,TRUE)</f>
        <v>1</v>
      </c>
      <c r="G114" s="57" t="s">
        <v>1222</v>
      </c>
      <c r="H114" s="50"/>
      <c r="I114" s="65"/>
      <c r="J114" s="66"/>
      <c r="K114" s="66"/>
      <c r="L114" s="66"/>
      <c r="M114" s="65"/>
      <c r="N114" s="65"/>
      <c r="O114" s="65"/>
    </row>
    <row r="115" spans="1:15" ht="45" x14ac:dyDescent="0.25">
      <c r="A115" s="58">
        <v>112</v>
      </c>
      <c r="B115" s="60" t="s">
        <v>1331</v>
      </c>
      <c r="C115" s="54" t="s">
        <v>1342</v>
      </c>
      <c r="D115" s="64" t="s">
        <v>1244</v>
      </c>
      <c r="E115" s="56" t="s">
        <v>1220</v>
      </c>
      <c r="F115" s="116" t="b">
        <f>IF(AND(ref_DebtIssuanceCurrencyDetails="Yes",NOT(COUNTA(tab_DebtIssuanceCurrency[Debt Issuance Currency])&gt;0)),FALSE,TRUE)</f>
        <v>1</v>
      </c>
      <c r="G115" s="57" t="s">
        <v>1222</v>
      </c>
      <c r="H115" s="50"/>
      <c r="I115" s="65"/>
      <c r="J115" s="66"/>
      <c r="K115" s="66"/>
      <c r="L115" s="66"/>
      <c r="M115" s="65"/>
      <c r="N115" s="65"/>
      <c r="O115" s="65"/>
    </row>
    <row r="116" spans="1:15" ht="105" x14ac:dyDescent="0.25">
      <c r="A116" s="50">
        <v>113</v>
      </c>
      <c r="B116" s="60" t="s">
        <v>1224</v>
      </c>
      <c r="C116" s="54" t="s">
        <v>1340</v>
      </c>
      <c r="D116" s="55" t="s">
        <v>1259</v>
      </c>
      <c r="E116" s="56" t="s">
        <v>886</v>
      </c>
      <c r="F116" s="116" t="b">
        <f>IF(AND(ref_VehicleActivity="Investment Fund Linked",NOT(OR(COUNTIF(tab_InstitutionConnections[Institution Connection Role],"Consolidator")&gt;0,COUNTIF(tab_InstitutionConnections[Institution Connection Role],"Non-Consolidated Interest(s)")&gt;0))),FALSE,TRUE)</f>
        <v>1</v>
      </c>
      <c r="G116" s="57" t="s">
        <v>1222</v>
      </c>
      <c r="H116" s="50"/>
      <c r="I116" s="67"/>
      <c r="J116" s="66"/>
      <c r="K116" s="66"/>
      <c r="L116" s="66"/>
      <c r="M116" s="65"/>
      <c r="N116" s="65"/>
      <c r="O116" s="65"/>
    </row>
    <row r="117" spans="1:15" ht="150" x14ac:dyDescent="0.25">
      <c r="A117" s="58">
        <v>114</v>
      </c>
      <c r="B117" s="60" t="s">
        <v>1224</v>
      </c>
      <c r="C117" s="54" t="s">
        <v>1339</v>
      </c>
      <c r="D117" s="55" t="s">
        <v>1242</v>
      </c>
      <c r="E117" s="56" t="s">
        <v>1399</v>
      </c>
      <c r="F117" s="116" t="b">
        <f>IF(AND(ref_OriginatorOfAssets="Multiple",ref_LegalEntityType="Financial Vehicle Corporation (FVC)",NOT(OR(COUNTIF(tab_InstitutionConnections[Institution Connection Role],"Issuer of Debt securities held")&gt;0,COUNTIF(tab_InstitutionConnections[Institution Connection Role],"Loan originator – as per Art 2(3a)")&gt;0,COUNTIF(tab_InstitutionConnections[Institution Connection Role],"Third party purchaser – as per Art 2(3b)")&gt;0,COUNTIF(tab_InstitutionConnections[Institution Connection Role],"Other Asset Originator")&gt;0))),FALSE,TRUE)</f>
        <v>1</v>
      </c>
      <c r="G117" s="57" t="s">
        <v>1222</v>
      </c>
      <c r="H117" s="50"/>
      <c r="I117" s="65"/>
      <c r="J117" s="65"/>
      <c r="K117" s="65"/>
      <c r="L117" s="65"/>
      <c r="M117" s="65"/>
      <c r="N117" s="65"/>
      <c r="O117" s="65"/>
    </row>
    <row r="118" spans="1:15" ht="105" x14ac:dyDescent="0.25">
      <c r="A118" s="50">
        <v>115</v>
      </c>
      <c r="B118" s="60" t="s">
        <v>1224</v>
      </c>
      <c r="C118" s="54" t="s">
        <v>1341</v>
      </c>
      <c r="D118" s="55" t="s">
        <v>1225</v>
      </c>
      <c r="E118" s="56" t="s">
        <v>897</v>
      </c>
      <c r="F118" s="116" t="b">
        <f>IF(AND(ref_Q1="Yes",NOT(SUM(COUNTIFS(tab_InstitutionConnections[Institution Connection Role],{"Third party purchaser – as per Art 2(3b)","Loan originator – as per Art 2(3a)"}))&gt;0)),FALSE,TRUE)</f>
        <v>1</v>
      </c>
      <c r="G118" s="57" t="s">
        <v>1222</v>
      </c>
      <c r="H118" s="50"/>
      <c r="I118" s="65"/>
      <c r="J118" s="65"/>
      <c r="K118" s="65"/>
      <c r="L118" s="65"/>
      <c r="M118" s="65"/>
      <c r="N118" s="65"/>
      <c r="O118" s="65"/>
    </row>
    <row r="119" spans="1:15" ht="30" x14ac:dyDescent="0.25">
      <c r="A119" s="58">
        <v>116</v>
      </c>
      <c r="B119" s="50" t="s">
        <v>1165</v>
      </c>
      <c r="C119" s="54" t="s">
        <v>757</v>
      </c>
      <c r="D119" s="68" t="s">
        <v>757</v>
      </c>
      <c r="E119" s="63" t="s">
        <v>823</v>
      </c>
      <c r="F119" s="116" t="b">
        <f>IF(NOT(COUNTIF(tab_InstitutionConnections[Institution Connection Role],"SPE Sponsor(s)")&gt;0),FALSE,TRUE)</f>
        <v>0</v>
      </c>
      <c r="G119" s="57" t="s">
        <v>1222</v>
      </c>
      <c r="H119" s="50"/>
      <c r="I119" s="50"/>
    </row>
    <row r="120" spans="1:15" ht="180" x14ac:dyDescent="0.25">
      <c r="A120" s="50">
        <v>117</v>
      </c>
      <c r="B120" s="50" t="s">
        <v>1165</v>
      </c>
      <c r="C120" s="54" t="s">
        <v>757</v>
      </c>
      <c r="D120" s="68" t="s">
        <v>757</v>
      </c>
      <c r="E120" s="63" t="s">
        <v>1398</v>
      </c>
      <c r="F120" s="116" t="b">
        <f>IF(OR(ISBLANK(ref_LegalEntityType),ref_LegalEntityType="Non-Securitisation SPE (SPV)"),TRUE,IF(NOT(OR(COUNTIF(tab_InstitutionConnections[Institution Connection Role],"Issuer of Debt securities held")&gt;0,COUNTIF(tab_InstitutionConnections[Institution Connection Role],"Loan originator – as per Art 2(3a)")&gt;0,COUNTIF(tab_InstitutionConnections[Institution Connection Role],"Third party purchaser – as per Art 2(3b)")&gt;0,COUNTIF(tab_InstitutionConnections[Institution Connection Role],"Other Asset Originator")&gt;0)),FALSE,TRUE))</f>
        <v>1</v>
      </c>
      <c r="G120" s="57" t="s">
        <v>1222</v>
      </c>
      <c r="H120" s="50"/>
      <c r="I120" s="50"/>
    </row>
    <row r="121" spans="1:15" ht="30" x14ac:dyDescent="0.25">
      <c r="A121" s="58">
        <v>118</v>
      </c>
      <c r="B121" s="50" t="s">
        <v>1165</v>
      </c>
      <c r="C121" s="69" t="s">
        <v>757</v>
      </c>
      <c r="D121" s="51" t="s">
        <v>757</v>
      </c>
      <c r="E121" s="56" t="s">
        <v>1374</v>
      </c>
      <c r="F121" s="116" t="b">
        <f>IF((SUMPRODUCT(--(ISNA(MATCH(tab_InstitutionConnections[Institution Connection Role],lis_InstitutionConnectionRole,0)))) - COUNTBLANK(tab_InstitutionConnections[Institution Connection Role]))&gt;0,FALSE,TRUE)</f>
        <v>1</v>
      </c>
      <c r="G121" s="57">
        <f>(SUMPRODUCT(--(ISNA(MATCH(tab_InstitutionConnections[Institution Connection Role],lis_InstitutionConnectionRole,0)))) - COUNTBLANK(tab_InstitutionConnections[Institution Connection Role]))</f>
        <v>0</v>
      </c>
      <c r="H121" s="50"/>
      <c r="I121" s="50"/>
    </row>
    <row r="122" spans="1:15" ht="30" x14ac:dyDescent="0.25">
      <c r="A122" s="50">
        <v>119</v>
      </c>
      <c r="B122" s="50" t="s">
        <v>1165</v>
      </c>
      <c r="C122" s="69" t="s">
        <v>575</v>
      </c>
      <c r="D122" s="51" t="s">
        <v>575</v>
      </c>
      <c r="E122" s="56" t="s">
        <v>1391</v>
      </c>
      <c r="F122" s="117" t="b">
        <f t="array" ref="F122">IF(SUMPRODUCT(--(NOT(ISNUMBER(tab_InstitutionConnections[CRO]) * (tab_InstitutionConnections[CRO]&lt;1000000000)))) - COUNTBLANK(tab_InstitutionConnections[CRO])&gt;0,FALSE,TRUE)</f>
        <v>1</v>
      </c>
      <c r="G122" s="59">
        <f>SUMPRODUCT(--(NOT(ISNUMBER(tab_InstitutionConnections[CRO]) * (tab_InstitutionConnections[CRO]&lt;1000000000)))) - COUNTBLANK(tab_InstitutionConnections[CRO])</f>
        <v>0</v>
      </c>
      <c r="H122" s="50"/>
      <c r="I122" s="50"/>
    </row>
    <row r="123" spans="1:15" x14ac:dyDescent="0.25">
      <c r="A123" s="58">
        <v>120</v>
      </c>
      <c r="B123" s="50" t="s">
        <v>1165</v>
      </c>
      <c r="C123" s="69" t="s">
        <v>576</v>
      </c>
      <c r="D123" s="70" t="s">
        <v>576</v>
      </c>
      <c r="E123" s="56" t="s">
        <v>1369</v>
      </c>
      <c r="F123" s="117" t="b">
        <f>IF(SUMPRODUCT(--(NOT(LEN(tab_InstitutionConnections[LEI])=20))) - COUNTBLANK(tab_InstitutionConnections[LEI])&gt;0,FALSE,TRUE)</f>
        <v>1</v>
      </c>
      <c r="G123" s="59">
        <f>SUMPRODUCT(--(NOT(LEN(tab_InstitutionConnections[LEI])=20))) - COUNTBLANK(tab_InstitutionConnections[LEI])</f>
        <v>0</v>
      </c>
      <c r="H123" s="50"/>
      <c r="I123" s="71"/>
    </row>
    <row r="124" spans="1:15" ht="30" x14ac:dyDescent="0.25">
      <c r="A124" s="50">
        <v>121</v>
      </c>
      <c r="B124" s="50" t="s">
        <v>1165</v>
      </c>
      <c r="C124" s="69" t="s">
        <v>577</v>
      </c>
      <c r="D124" s="51" t="s">
        <v>577</v>
      </c>
      <c r="E124" s="56" t="s">
        <v>1373</v>
      </c>
      <c r="F124" s="116" t="b">
        <f>IF((SUMPRODUCT(--(ISNA(MATCH(tab_InstitutionConnections[Other Identifier Name],lis_OtherIdentifierName,0)))) - COUNTBLANK(tab_InstitutionConnections[Other Identifier Name]))&gt;0,FALSE,TRUE)</f>
        <v>1</v>
      </c>
      <c r="G124" s="57">
        <f>(SUMPRODUCT(--(ISNA(MATCH(tab_InstitutionConnections[Other Identifier Name],lis_OtherIdentifierName,0)))) - COUNTBLANK(tab_InstitutionConnections[Other Identifier Name]))</f>
        <v>0</v>
      </c>
      <c r="H124" s="50"/>
      <c r="I124" s="50"/>
    </row>
    <row r="125" spans="1:15" ht="30" x14ac:dyDescent="0.25">
      <c r="A125" s="58">
        <v>122</v>
      </c>
      <c r="B125" s="50" t="s">
        <v>1165</v>
      </c>
      <c r="C125" s="69" t="s">
        <v>578</v>
      </c>
      <c r="D125" s="51" t="s">
        <v>578</v>
      </c>
      <c r="E125" s="56" t="s">
        <v>1375</v>
      </c>
      <c r="F125" s="117" t="b">
        <f>IF(SUMPRODUCT(--(NOT(LEN(tab_InstitutionConnections[Other Identifier Value])&lt;251)))&gt;0,FALSE,TRUE)</f>
        <v>1</v>
      </c>
      <c r="G125" s="72">
        <f>SUMPRODUCT(--(NOT(LEN(tab_InstitutionConnections[Other Identifier Value])&lt;251)))</f>
        <v>0</v>
      </c>
      <c r="H125" s="50"/>
      <c r="I125" s="50"/>
    </row>
    <row r="126" spans="1:15" ht="30" x14ac:dyDescent="0.25">
      <c r="A126" s="50">
        <v>123</v>
      </c>
      <c r="B126" s="50" t="s">
        <v>1165</v>
      </c>
      <c r="C126" s="54" t="s">
        <v>557</v>
      </c>
      <c r="D126" s="51" t="s">
        <v>557</v>
      </c>
      <c r="E126" s="56" t="s">
        <v>1392</v>
      </c>
      <c r="F126" s="117" t="b">
        <f>IF(SUMPRODUCT(--(NOT(ISNUMBER(tab_InstitutionConnections[Central Bank Institution Number])*(tab_InstitutionConnections[Central Bank Institution Number]&lt;100000000)))) - COUNTBLANK(tab_InstitutionConnections[Central Bank Institution Number])&gt;0,FALSE,TRUE)</f>
        <v>1</v>
      </c>
      <c r="G126" s="59">
        <f>SUMPRODUCT(--(NOT(ISNUMBER(tab_InstitutionConnections[Central Bank Institution Number])*(tab_InstitutionConnections[Central Bank Institution Number]&lt;100000000)))) - COUNTBLANK(tab_InstitutionConnections[Central Bank Institution Number])</f>
        <v>0</v>
      </c>
      <c r="H126" s="50"/>
      <c r="I126" s="50"/>
    </row>
    <row r="127" spans="1:15" ht="30" x14ac:dyDescent="0.25">
      <c r="A127" s="58">
        <v>124</v>
      </c>
      <c r="B127" s="50" t="s">
        <v>1165</v>
      </c>
      <c r="C127" s="69" t="s">
        <v>556</v>
      </c>
      <c r="D127" s="70" t="s">
        <v>556</v>
      </c>
      <c r="E127" s="56" t="s">
        <v>1370</v>
      </c>
      <c r="F127" s="117" t="b">
        <f t="array" ref="F127">IF(SUMPRODUCT(--(NOT(LEN(tab_InstitutionConnections[Institution Name])&lt;251)))&gt;0,FALSE,TRUE)</f>
        <v>1</v>
      </c>
      <c r="G127" s="72">
        <f>SUMPRODUCT(--(NOT(LEN(tab_InstitutionConnections[Institution Name])&lt;251)))</f>
        <v>0</v>
      </c>
      <c r="H127" s="50"/>
      <c r="I127" s="50"/>
    </row>
    <row r="128" spans="1:15" x14ac:dyDescent="0.25">
      <c r="A128" s="50">
        <v>125</v>
      </c>
      <c r="B128" s="50" t="s">
        <v>1165</v>
      </c>
      <c r="C128" s="69" t="s">
        <v>0</v>
      </c>
      <c r="D128" s="51" t="s">
        <v>0</v>
      </c>
      <c r="E128" s="56" t="s">
        <v>1371</v>
      </c>
      <c r="F128" s="116" t="b">
        <f>IF((SUMPRODUCT(--(ISNA(MATCH(tab_InstitutionConnections[Country],lis_Country,0)))) - COUNTBLANK(tab_InstitutionConnections[Country]))&gt;0,FALSE,TRUE)</f>
        <v>1</v>
      </c>
      <c r="G128" s="57">
        <f>(SUMPRODUCT(--(ISNA(MATCH(tab_InstitutionConnections[Country],lis_Country,0)))) - COUNTBLANK(tab_InstitutionConnections[Country]))</f>
        <v>0</v>
      </c>
      <c r="H128" s="50"/>
      <c r="I128" s="50"/>
    </row>
    <row r="129" spans="1:9" x14ac:dyDescent="0.25">
      <c r="A129" s="58">
        <v>126</v>
      </c>
      <c r="B129" s="50" t="s">
        <v>1165</v>
      </c>
      <c r="C129" s="69" t="s">
        <v>1</v>
      </c>
      <c r="D129" s="51" t="s">
        <v>1</v>
      </c>
      <c r="E129" s="56" t="s">
        <v>1372</v>
      </c>
      <c r="F129" s="116" t="b">
        <f>IF((SUMPRODUCT(--(ISNA(MATCH(tab_InstitutionConnections[Sector],lis_Sector,0)))) - COUNTBLANK(tab_InstitutionConnections[Sector]))&gt;0,FALSE,TRUE)</f>
        <v>1</v>
      </c>
      <c r="G129" s="57">
        <f>(SUMPRODUCT(--(ISNA(MATCH(tab_InstitutionConnections[Sector],lis_Sector,0)))) - COUNTBLANK(tab_InstitutionConnections[Sector]))</f>
        <v>0</v>
      </c>
      <c r="H129" s="50"/>
      <c r="I129" s="50"/>
    </row>
    <row r="130" spans="1:9" ht="60" x14ac:dyDescent="0.25">
      <c r="A130" s="50">
        <v>127</v>
      </c>
      <c r="B130" s="50" t="s">
        <v>1165</v>
      </c>
      <c r="C130" s="54" t="s">
        <v>1405</v>
      </c>
      <c r="D130" s="55" t="s">
        <v>1405</v>
      </c>
      <c r="E130" s="56" t="s">
        <v>1404</v>
      </c>
      <c r="F130" s="116" t="b">
        <f>IF(COUNTIFS(tab_InstitutionConnections[Institution Connection Role],"SPE Sponsor(s)",tab_InstitutionConnections[LEI],"",tab_InstitutionConnections[CRO],"",tab_InstitutionConnections[Central Bank Institution Number],"")&gt;0,FALSE,TRUE)</f>
        <v>1</v>
      </c>
      <c r="G130" s="57">
        <f>COUNTIFS(tab_InstitutionConnections[Institution Connection Role],"SPE Sponsor(s)",tab_InstitutionConnections[LEI],"",tab_InstitutionConnections[CRO],"")</f>
        <v>0</v>
      </c>
      <c r="H130" s="50"/>
      <c r="I130" s="50"/>
    </row>
    <row r="131" spans="1:9" ht="45" x14ac:dyDescent="0.25">
      <c r="A131" s="58">
        <v>128</v>
      </c>
      <c r="B131" s="50" t="s">
        <v>1165</v>
      </c>
      <c r="C131" s="54" t="s">
        <v>1403</v>
      </c>
      <c r="D131" s="55" t="s">
        <v>1403</v>
      </c>
      <c r="E131" s="56" t="s">
        <v>1400</v>
      </c>
      <c r="F131" s="116" t="b">
        <f>IF(COUNTIFS(tab_InstitutionConnections[Institution Connection Role],"Issuer of Debt securities held",tab_InstitutionConnections[LEI],"",tab_InstitutionConnections[CRO],"")&gt;0,FALSE,TRUE)</f>
        <v>1</v>
      </c>
      <c r="G131" s="57">
        <f>COUNTIFS(tab_InstitutionConnections[Institution Connection Role],"Issuer of Debt securities held",tab_InstitutionConnections[LEI],"",tab_InstitutionConnections[CRO],"")</f>
        <v>0</v>
      </c>
      <c r="H131" s="50"/>
      <c r="I131" s="50"/>
    </row>
    <row r="132" spans="1:9" ht="45" x14ac:dyDescent="0.25">
      <c r="A132" s="50">
        <v>129</v>
      </c>
      <c r="B132" s="50" t="s">
        <v>1165</v>
      </c>
      <c r="C132" s="54" t="s">
        <v>1403</v>
      </c>
      <c r="D132" s="55" t="s">
        <v>1403</v>
      </c>
      <c r="E132" s="56" t="s">
        <v>1401</v>
      </c>
      <c r="F132" s="116" t="b">
        <f>IF(COUNTIFS(tab_InstitutionConnections[Institution Connection Role],"Loan originator – as per Art 2(3a)",tab_InstitutionConnections[LEI],"",tab_InstitutionConnections[CRO],"")&gt;0,FALSE,TRUE)</f>
        <v>1</v>
      </c>
      <c r="G132" s="57">
        <f>COUNTIFS(tab_InstitutionConnections[Institution Connection Role],"Loan originator – as per Art 2(3a)",tab_InstitutionConnections[LEI],"",tab_InstitutionConnections[CRO],"")</f>
        <v>0</v>
      </c>
      <c r="H132" s="50"/>
      <c r="I132" s="50"/>
    </row>
    <row r="133" spans="1:9" ht="45" x14ac:dyDescent="0.25">
      <c r="A133" s="58">
        <v>130</v>
      </c>
      <c r="B133" s="50" t="s">
        <v>1165</v>
      </c>
      <c r="C133" s="54" t="s">
        <v>1403</v>
      </c>
      <c r="D133" s="55" t="s">
        <v>1403</v>
      </c>
      <c r="E133" s="56" t="s">
        <v>1402</v>
      </c>
      <c r="F133" s="116" t="b">
        <f>IF(COUNTIFS(tab_InstitutionConnections[Institution Connection Role],"Third party purchaser – as per Art 2(3b)",tab_InstitutionConnections[LEI],"",tab_InstitutionConnections[CRO],"")&gt;0,FALSE,TRUE)</f>
        <v>1</v>
      </c>
      <c r="G133" s="57">
        <f>COUNTIFS(tab_InstitutionConnections[Institution Connection Role],"Third party purchaser – as per Art 2(3b)",tab_InstitutionConnections[LEI],"",tab_InstitutionConnections[CRO],"")</f>
        <v>0</v>
      </c>
      <c r="H133" s="50"/>
      <c r="I133" s="50"/>
    </row>
    <row r="134" spans="1:9" ht="60" x14ac:dyDescent="0.25">
      <c r="A134" s="50">
        <v>131</v>
      </c>
      <c r="B134" s="50" t="s">
        <v>1165</v>
      </c>
      <c r="C134" s="54" t="s">
        <v>1405</v>
      </c>
      <c r="D134" s="55" t="s">
        <v>1405</v>
      </c>
      <c r="E134" s="56" t="s">
        <v>1406</v>
      </c>
      <c r="F134" s="116" t="b">
        <f>IF(COUNTIFS(tab_InstitutionConnections[Institution Connection Role],"Other Asset Originator",tab_InstitutionConnections[LEI],"",tab_InstitutionConnections[CRO],"",tab_InstitutionConnections[Central Bank Institution Number],"")&gt;0,FALSE,TRUE)</f>
        <v>1</v>
      </c>
      <c r="G134" s="57">
        <f>COUNTIFS(tab_InstitutionConnections[Institution Connection Role],"Other Asset Originator",tab_InstitutionConnections[LEI],"",tab_InstitutionConnections[CRO],"")</f>
        <v>0</v>
      </c>
      <c r="H134" s="50"/>
      <c r="I134" s="50"/>
    </row>
    <row r="135" spans="1:9" ht="30" x14ac:dyDescent="0.25">
      <c r="A135" s="58">
        <v>132</v>
      </c>
      <c r="B135" s="50" t="s">
        <v>1165</v>
      </c>
      <c r="C135" s="54" t="s">
        <v>827</v>
      </c>
      <c r="D135" s="55" t="s">
        <v>827</v>
      </c>
      <c r="E135" s="56" t="s">
        <v>830</v>
      </c>
      <c r="F135" s="116" t="b">
        <f>IF(COUNTIFS(tab_InstitutionConnections[Institution Connection Role],"SPE Sponsor(s)",tab_InstitutionConnections[Sector],"")&gt;0,FALSE,TRUE)</f>
        <v>1</v>
      </c>
      <c r="G135" s="57">
        <f>COUNTIFS(tab_InstitutionConnections[Institution Connection Role],"SPE Sponsor(s)",tab_InstitutionConnections[Sector],"")</f>
        <v>0</v>
      </c>
      <c r="H135" s="50"/>
      <c r="I135" s="50"/>
    </row>
    <row r="136" spans="1:9" ht="30" x14ac:dyDescent="0.25">
      <c r="A136" s="50">
        <v>133</v>
      </c>
      <c r="B136" s="50" t="s">
        <v>1165</v>
      </c>
      <c r="C136" s="54" t="s">
        <v>827</v>
      </c>
      <c r="D136" s="55" t="s">
        <v>827</v>
      </c>
      <c r="E136" s="56" t="s">
        <v>833</v>
      </c>
      <c r="F136" s="116" t="b">
        <f>IF(COUNTIFS(tab_InstitutionConnections[Institution Connection Role],"Issuer of Debt securities held",tab_InstitutionConnections[Sector],"")&gt;0,FALSE,TRUE)</f>
        <v>1</v>
      </c>
      <c r="G136" s="57">
        <f>COUNTIFS(tab_InstitutionConnections[Institution Connection Role],"Issuer of Debt securities held",tab_InstitutionConnections[Sector],"")</f>
        <v>0</v>
      </c>
      <c r="H136" s="50"/>
      <c r="I136" s="50"/>
    </row>
    <row r="137" spans="1:9" ht="30" x14ac:dyDescent="0.25">
      <c r="A137" s="58">
        <v>134</v>
      </c>
      <c r="B137" s="50" t="s">
        <v>1165</v>
      </c>
      <c r="C137" s="54" t="s">
        <v>827</v>
      </c>
      <c r="D137" s="55" t="s">
        <v>827</v>
      </c>
      <c r="E137" s="56" t="s">
        <v>836</v>
      </c>
      <c r="F137" s="116" t="b">
        <f>IF(COUNTIFS(tab_InstitutionConnections[Institution Connection Role],"Loan originator – as per Art 2(3a)",tab_InstitutionConnections[Sector],"")&gt;0,FALSE,TRUE)</f>
        <v>1</v>
      </c>
      <c r="G137" s="57">
        <f>COUNTIFS(tab_InstitutionConnections[Institution Connection Role],"Loan originator – as per Art 2(3a)",tab_InstitutionConnections[Sector],"")</f>
        <v>0</v>
      </c>
      <c r="H137" s="50"/>
      <c r="I137" s="50"/>
    </row>
    <row r="138" spans="1:9" ht="30" x14ac:dyDescent="0.25">
      <c r="A138" s="50">
        <v>135</v>
      </c>
      <c r="B138" s="50" t="s">
        <v>1165</v>
      </c>
      <c r="C138" s="54" t="s">
        <v>827</v>
      </c>
      <c r="D138" s="55" t="s">
        <v>827</v>
      </c>
      <c r="E138" s="56" t="s">
        <v>839</v>
      </c>
      <c r="F138" s="116" t="b">
        <f>IF(COUNTIFS(tab_InstitutionConnections[Institution Connection Role],"Third party purchaser – as per Art 2(3b)",tab_InstitutionConnections[Sector],"")&gt;0,FALSE,TRUE)</f>
        <v>1</v>
      </c>
      <c r="G138" s="57">
        <f>COUNTIFS(tab_InstitutionConnections[Institution Connection Role],"Third party purchaser – as per Art 2(3b)",tab_InstitutionConnections[Sector],"")</f>
        <v>0</v>
      </c>
      <c r="H138" s="50"/>
      <c r="I138" s="50"/>
    </row>
    <row r="139" spans="1:9" ht="30" x14ac:dyDescent="0.25">
      <c r="A139" s="58">
        <v>136</v>
      </c>
      <c r="B139" s="50" t="s">
        <v>1165</v>
      </c>
      <c r="C139" s="54" t="s">
        <v>827</v>
      </c>
      <c r="D139" s="55" t="s">
        <v>827</v>
      </c>
      <c r="E139" s="56" t="s">
        <v>842</v>
      </c>
      <c r="F139" s="116" t="b">
        <f>IF(COUNTIFS(tab_InstitutionConnections[Institution Connection Role],"Other Asset Originator",tab_InstitutionConnections[Sector],"")&gt;0,FALSE,TRUE)</f>
        <v>1</v>
      </c>
      <c r="G139" s="57">
        <f>COUNTIFS(tab_InstitutionConnections[Institution Connection Role],"Other Asset Originator",tab_InstitutionConnections[Sector],"")</f>
        <v>0</v>
      </c>
      <c r="H139" s="50"/>
      <c r="I139" s="50"/>
    </row>
    <row r="140" spans="1:9" ht="30" x14ac:dyDescent="0.25">
      <c r="A140" s="50">
        <v>137</v>
      </c>
      <c r="B140" s="50" t="s">
        <v>1165</v>
      </c>
      <c r="C140" s="54" t="s">
        <v>827</v>
      </c>
      <c r="D140" s="55" t="s">
        <v>827</v>
      </c>
      <c r="E140" s="56" t="s">
        <v>861</v>
      </c>
      <c r="F140" s="116" t="b">
        <f>IF(COUNTIFS(tab_InstitutionConnections[Institution Connection Role],"SPE Intermediaries",tab_InstitutionConnections[Sector],"")&gt;0,FALSE,TRUE)</f>
        <v>1</v>
      </c>
      <c r="G140" s="57">
        <f>COUNTIFS(tab_InstitutionConnections[Institution Connection Role],"SPE Intermediaries",tab_InstitutionConnections[Sector],"")</f>
        <v>0</v>
      </c>
      <c r="H140" s="50"/>
      <c r="I140" s="50"/>
    </row>
    <row r="141" spans="1:9" ht="30" x14ac:dyDescent="0.25">
      <c r="A141" s="58">
        <v>138</v>
      </c>
      <c r="B141" s="50" t="s">
        <v>1165</v>
      </c>
      <c r="C141" s="54" t="s">
        <v>827</v>
      </c>
      <c r="D141" s="55" t="s">
        <v>827</v>
      </c>
      <c r="E141" s="56" t="s">
        <v>845</v>
      </c>
      <c r="F141" s="116" t="b">
        <f>IF(COUNTIFS(tab_InstitutionConnections[Institution Connection Role],"Consolidator",tab_InstitutionConnections[Sector],"")&gt;0,FALSE,TRUE)</f>
        <v>1</v>
      </c>
      <c r="G141" s="57">
        <f>COUNTIFS(tab_InstitutionConnections[Institution Connection Role],"Consolidator",tab_InstitutionConnections[Sector],"")</f>
        <v>0</v>
      </c>
      <c r="H141" s="50"/>
      <c r="I141" s="50"/>
    </row>
    <row r="142" spans="1:9" ht="30" x14ac:dyDescent="0.25">
      <c r="A142" s="50">
        <v>139</v>
      </c>
      <c r="B142" s="50" t="s">
        <v>1165</v>
      </c>
      <c r="C142" s="54" t="s">
        <v>827</v>
      </c>
      <c r="D142" s="55" t="s">
        <v>827</v>
      </c>
      <c r="E142" s="56" t="s">
        <v>848</v>
      </c>
      <c r="F142" s="116" t="b">
        <f>IF(COUNTIFS(tab_InstitutionConnections[Institution Connection Role],"Non-Consolidated Interest(s)",tab_InstitutionConnections[Sector],"")&gt;0,FALSE,TRUE)</f>
        <v>1</v>
      </c>
      <c r="G142" s="57">
        <f>COUNTIFS(tab_InstitutionConnections[Institution Connection Role],"Non-Consolidated Interest(s)",tab_InstitutionConnections[Sector],"")</f>
        <v>0</v>
      </c>
      <c r="H142" s="50"/>
      <c r="I142" s="50"/>
    </row>
    <row r="143" spans="1:9" ht="30" x14ac:dyDescent="0.25">
      <c r="A143" s="58">
        <v>140</v>
      </c>
      <c r="B143" s="50" t="s">
        <v>1165</v>
      </c>
      <c r="C143" s="54" t="s">
        <v>827</v>
      </c>
      <c r="D143" s="55" t="s">
        <v>827</v>
      </c>
      <c r="E143" s="56" t="s">
        <v>851</v>
      </c>
      <c r="F143" s="116" t="b">
        <f>IF(COUNTIFS(tab_InstitutionConnections[Institution Connection Role],"Guarantor(s)",tab_InstitutionConnections[Sector],"")&gt;0,FALSE,TRUE)</f>
        <v>1</v>
      </c>
      <c r="G143" s="57">
        <f>COUNTIFS(tab_InstitutionConnections[Institution Connection Role],"Guarantor(s)",tab_InstitutionConnections[Sector],"")</f>
        <v>0</v>
      </c>
      <c r="H143" s="50"/>
      <c r="I143" s="50"/>
    </row>
    <row r="144" spans="1:9" ht="30" x14ac:dyDescent="0.25">
      <c r="A144" s="50">
        <v>141</v>
      </c>
      <c r="B144" s="50" t="s">
        <v>1165</v>
      </c>
      <c r="C144" s="54" t="s">
        <v>826</v>
      </c>
      <c r="D144" s="55" t="s">
        <v>826</v>
      </c>
      <c r="E144" s="56" t="s">
        <v>829</v>
      </c>
      <c r="F144" s="116" t="b">
        <f>IF(COUNTIFS(tab_InstitutionConnections[Institution Connection Role],"SPE Sponsor(s)",tab_InstitutionConnections[Country],"")&gt;0,FALSE,TRUE)</f>
        <v>1</v>
      </c>
      <c r="G144" s="57">
        <f>COUNTIFS(tab_InstitutionConnections[Institution Connection Role],"SPE Sponsor(s)",tab_InstitutionConnections[Country],"")</f>
        <v>0</v>
      </c>
      <c r="H144" s="50"/>
      <c r="I144" s="50"/>
    </row>
    <row r="145" spans="1:9" ht="30" x14ac:dyDescent="0.25">
      <c r="A145" s="58">
        <v>142</v>
      </c>
      <c r="B145" s="50" t="s">
        <v>1165</v>
      </c>
      <c r="C145" s="54" t="s">
        <v>826</v>
      </c>
      <c r="D145" s="55" t="s">
        <v>826</v>
      </c>
      <c r="E145" s="56" t="s">
        <v>832</v>
      </c>
      <c r="F145" s="116" t="b">
        <f>IF(COUNTIFS(tab_InstitutionConnections[Institution Connection Role],"Issuer of Debt securities held",tab_InstitutionConnections[Country],"")&gt;0,FALSE,TRUE)</f>
        <v>1</v>
      </c>
      <c r="G145" s="57">
        <f>COUNTIFS(tab_InstitutionConnections[Institution Connection Role],"Issuer of Debt securities held",tab_InstitutionConnections[Country],"")</f>
        <v>0</v>
      </c>
      <c r="H145" s="50"/>
      <c r="I145" s="50"/>
    </row>
    <row r="146" spans="1:9" ht="30" x14ac:dyDescent="0.25">
      <c r="A146" s="50">
        <v>143</v>
      </c>
      <c r="B146" s="50" t="s">
        <v>1165</v>
      </c>
      <c r="C146" s="54" t="s">
        <v>826</v>
      </c>
      <c r="D146" s="55" t="s">
        <v>826</v>
      </c>
      <c r="E146" s="56" t="s">
        <v>835</v>
      </c>
      <c r="F146" s="116" t="b">
        <f>IF(COUNTIFS(tab_InstitutionConnections[Institution Connection Role],"Loan originator – as per Art 2(3a)",tab_InstitutionConnections[Country],"")&gt;0,FALSE,TRUE)</f>
        <v>1</v>
      </c>
      <c r="G146" s="57">
        <f>COUNTIFS(tab_InstitutionConnections[Institution Connection Role],"Loan originator – as per Art 2(3a)",tab_InstitutionConnections[Country],"")</f>
        <v>0</v>
      </c>
      <c r="H146" s="50"/>
      <c r="I146" s="50"/>
    </row>
    <row r="147" spans="1:9" ht="30" x14ac:dyDescent="0.25">
      <c r="A147" s="58">
        <v>144</v>
      </c>
      <c r="B147" s="50" t="s">
        <v>1165</v>
      </c>
      <c r="C147" s="54" t="s">
        <v>826</v>
      </c>
      <c r="D147" s="55" t="s">
        <v>826</v>
      </c>
      <c r="E147" s="56" t="s">
        <v>838</v>
      </c>
      <c r="F147" s="116" t="b">
        <f>IF(COUNTIFS(tab_InstitutionConnections[Institution Connection Role],"Third party purchaser – as per Art 2(3b)",tab_InstitutionConnections[Country],"")&gt;0,FALSE,TRUE)</f>
        <v>1</v>
      </c>
      <c r="G147" s="57">
        <f>COUNTIFS(tab_InstitutionConnections[Institution Connection Role],"Third party purchaser – as per Art 2(3b)",tab_InstitutionConnections[Country],"")</f>
        <v>0</v>
      </c>
      <c r="H147" s="50"/>
      <c r="I147" s="50"/>
    </row>
    <row r="148" spans="1:9" ht="30" x14ac:dyDescent="0.25">
      <c r="A148" s="50">
        <v>145</v>
      </c>
      <c r="B148" s="50" t="s">
        <v>1165</v>
      </c>
      <c r="C148" s="54" t="s">
        <v>826</v>
      </c>
      <c r="D148" s="55" t="s">
        <v>826</v>
      </c>
      <c r="E148" s="56" t="s">
        <v>841</v>
      </c>
      <c r="F148" s="116" t="b">
        <f>IF(COUNTIFS(tab_InstitutionConnections[Institution Connection Role],"Other Asset Originator",tab_InstitutionConnections[Country],"")&gt;0,FALSE,TRUE)</f>
        <v>1</v>
      </c>
      <c r="G148" s="57">
        <f>COUNTIFS(tab_InstitutionConnections[Institution Connection Role],"Other Asset Originator",tab_InstitutionConnections[Country],"")</f>
        <v>0</v>
      </c>
      <c r="H148" s="50"/>
      <c r="I148" s="50"/>
    </row>
    <row r="149" spans="1:9" ht="30" x14ac:dyDescent="0.25">
      <c r="A149" s="58">
        <v>146</v>
      </c>
      <c r="B149" s="50" t="s">
        <v>1165</v>
      </c>
      <c r="C149" s="54" t="s">
        <v>826</v>
      </c>
      <c r="D149" s="55" t="s">
        <v>826</v>
      </c>
      <c r="E149" s="56" t="s">
        <v>863</v>
      </c>
      <c r="F149" s="116" t="b">
        <f>IF(COUNTIFS(tab_InstitutionConnections[Institution Connection Role],"SPE Intermediaries",tab_InstitutionConnections[Country],"")&gt;0,FALSE,TRUE)</f>
        <v>1</v>
      </c>
      <c r="G149" s="57">
        <f>COUNTIFS(tab_InstitutionConnections[Institution Connection Role],"SPE Intermediaries",tab_InstitutionConnections[Country],"")</f>
        <v>0</v>
      </c>
      <c r="H149" s="50"/>
      <c r="I149" s="50"/>
    </row>
    <row r="150" spans="1:9" ht="30" x14ac:dyDescent="0.25">
      <c r="A150" s="50">
        <v>147</v>
      </c>
      <c r="B150" s="50" t="s">
        <v>1165</v>
      </c>
      <c r="C150" s="54" t="s">
        <v>826</v>
      </c>
      <c r="D150" s="55" t="s">
        <v>826</v>
      </c>
      <c r="E150" s="56" t="s">
        <v>844</v>
      </c>
      <c r="F150" s="116" t="b">
        <f>IF(COUNTIFS(tab_InstitutionConnections[Institution Connection Role],"Consolidator",tab_InstitutionConnections[Country],"")&gt;0,FALSE,TRUE)</f>
        <v>1</v>
      </c>
      <c r="G150" s="57">
        <f>COUNTIFS(tab_InstitutionConnections[Institution Connection Role],"Consolidator",tab_InstitutionConnections[Country],"")</f>
        <v>0</v>
      </c>
      <c r="H150" s="50"/>
      <c r="I150" s="50"/>
    </row>
    <row r="151" spans="1:9" ht="30" x14ac:dyDescent="0.25">
      <c r="A151" s="58">
        <v>148</v>
      </c>
      <c r="B151" s="50" t="s">
        <v>1165</v>
      </c>
      <c r="C151" s="54" t="s">
        <v>826</v>
      </c>
      <c r="D151" s="55" t="s">
        <v>826</v>
      </c>
      <c r="E151" s="56" t="s">
        <v>847</v>
      </c>
      <c r="F151" s="116" t="b">
        <f>IF(COUNTIFS(tab_InstitutionConnections[Institution Connection Role],"Non-Consolidated Interest(s)",tab_InstitutionConnections[Country],"")&gt;0,FALSE,TRUE)</f>
        <v>1</v>
      </c>
      <c r="G151" s="57">
        <f>COUNTIFS(tab_InstitutionConnections[Institution Connection Role],"Non-Consolidated Interest(s)",tab_InstitutionConnections[Country],"")</f>
        <v>0</v>
      </c>
      <c r="H151" s="50"/>
      <c r="I151" s="50"/>
    </row>
    <row r="152" spans="1:9" ht="30" x14ac:dyDescent="0.25">
      <c r="A152" s="50">
        <v>149</v>
      </c>
      <c r="B152" s="50" t="s">
        <v>1165</v>
      </c>
      <c r="C152" s="54" t="s">
        <v>826</v>
      </c>
      <c r="D152" s="55" t="s">
        <v>826</v>
      </c>
      <c r="E152" s="56" t="s">
        <v>850</v>
      </c>
      <c r="F152" s="116" t="b">
        <f>IF(COUNTIFS(tab_InstitutionConnections[Institution Connection Role],"Guarantor(s)",tab_InstitutionConnections[Country],"")&gt;0,FALSE,TRUE)</f>
        <v>1</v>
      </c>
      <c r="G152" s="57">
        <f>COUNTIFS(tab_InstitutionConnections[Institution Connection Role],"Guarantor(s)",tab_InstitutionConnections[Country],"")</f>
        <v>0</v>
      </c>
      <c r="H152" s="50"/>
      <c r="I152" s="50"/>
    </row>
    <row r="153" spans="1:9" ht="45" x14ac:dyDescent="0.25">
      <c r="A153" s="58">
        <v>150</v>
      </c>
      <c r="B153" s="50" t="s">
        <v>1165</v>
      </c>
      <c r="C153" s="54" t="s">
        <v>1226</v>
      </c>
      <c r="D153" s="55" t="s">
        <v>1226</v>
      </c>
      <c r="E153" s="73" t="s">
        <v>852</v>
      </c>
      <c r="F153" s="116" t="b">
        <f>IF(COUNTIFS(tab_InstitutionConnections[Institution Connection Role],"SPE Sponsor(s)",tab_InstitutionConnections[Country],"IE - Ireland",tab_InstitutionConnections[CRO],"")&gt;0,FALSE,TRUE)</f>
        <v>1</v>
      </c>
      <c r="G153" s="57">
        <f>COUNTIFS(tab_InstitutionConnections[Institution Connection Role],"SPE Sponsor(s)",tab_InstitutionConnections[Country],"IE - Ireland",tab_InstitutionConnections[CRO],"")</f>
        <v>0</v>
      </c>
      <c r="H153" s="50"/>
      <c r="I153" s="50"/>
    </row>
    <row r="154" spans="1:9" ht="45" x14ac:dyDescent="0.25">
      <c r="A154" s="50">
        <v>151</v>
      </c>
      <c r="B154" s="50" t="s">
        <v>1165</v>
      </c>
      <c r="C154" s="54" t="s">
        <v>1226</v>
      </c>
      <c r="D154" s="55" t="s">
        <v>1226</v>
      </c>
      <c r="E154" s="56" t="s">
        <v>853</v>
      </c>
      <c r="F154" s="116" t="b">
        <f>IF(COUNTIFS(tab_InstitutionConnections[Institution Connection Role],"Issuer of Debt securities held",tab_InstitutionConnections[Country],"IE - Ireland",tab_InstitutionConnections[CRO],"")&gt;0,FALSE,TRUE)</f>
        <v>1</v>
      </c>
      <c r="G154" s="57">
        <f>COUNTIFS(tab_InstitutionConnections[Institution Connection Role],"Issuer of Debt securities held",tab_InstitutionConnections[Country],"IE - Ireland",tab_InstitutionConnections[CRO],"")</f>
        <v>0</v>
      </c>
      <c r="H154" s="50"/>
      <c r="I154" s="50"/>
    </row>
    <row r="155" spans="1:9" ht="45" x14ac:dyDescent="0.25">
      <c r="A155" s="58">
        <v>152</v>
      </c>
      <c r="B155" s="50" t="s">
        <v>1165</v>
      </c>
      <c r="C155" s="54" t="s">
        <v>1226</v>
      </c>
      <c r="D155" s="55" t="s">
        <v>1226</v>
      </c>
      <c r="E155" s="56" t="s">
        <v>854</v>
      </c>
      <c r="F155" s="116" t="b">
        <f>IF(COUNTIFS(tab_InstitutionConnections[Institution Connection Role],"Loan originator – as per Art 2(3a)",tab_InstitutionConnections[Country],"IE - Ireland",tab_InstitutionConnections[CRO],"")&gt;0,FALSE,TRUE)</f>
        <v>1</v>
      </c>
      <c r="G155" s="57">
        <f>COUNTIFS(tab_InstitutionConnections[Institution Connection Role],"Loan originator – as per Art 2(3a)",tab_InstitutionConnections[Country],"IE - Ireland",tab_InstitutionConnections[CRO],"")</f>
        <v>0</v>
      </c>
      <c r="H155" s="50"/>
      <c r="I155" s="50"/>
    </row>
    <row r="156" spans="1:9" ht="45" x14ac:dyDescent="0.25">
      <c r="A156" s="50">
        <v>153</v>
      </c>
      <c r="B156" s="50" t="s">
        <v>1165</v>
      </c>
      <c r="C156" s="54" t="s">
        <v>1226</v>
      </c>
      <c r="D156" s="55" t="s">
        <v>1226</v>
      </c>
      <c r="E156" s="56" t="s">
        <v>855</v>
      </c>
      <c r="F156" s="116" t="b">
        <f>IF(COUNTIFS(tab_InstitutionConnections[Institution Connection Role],"Third party purchaser – as per Art 2(3b)",tab_InstitutionConnections[Country],"IE - Ireland",tab_InstitutionConnections[CRO],"")&gt;0,FALSE,TRUE)</f>
        <v>1</v>
      </c>
      <c r="G156" s="57">
        <f>COUNTIFS(tab_InstitutionConnections[Institution Connection Role],"Third party purchaser – as per Art 2(3b)",tab_InstitutionConnections[Country],"IE - Ireland",tab_InstitutionConnections[CRO],"")</f>
        <v>0</v>
      </c>
      <c r="H156" s="50"/>
      <c r="I156" s="50"/>
    </row>
    <row r="157" spans="1:9" ht="45" x14ac:dyDescent="0.25">
      <c r="A157" s="58">
        <v>154</v>
      </c>
      <c r="B157" s="50" t="s">
        <v>1165</v>
      </c>
      <c r="C157" s="54" t="s">
        <v>1226</v>
      </c>
      <c r="D157" s="55" t="s">
        <v>1226</v>
      </c>
      <c r="E157" s="56" t="s">
        <v>856</v>
      </c>
      <c r="F157" s="116" t="b">
        <f>IF(COUNTIFS(tab_InstitutionConnections[Institution Connection Role],"Other Asset Originator",tab_InstitutionConnections[Country],"IE - Ireland",tab_InstitutionConnections[CRO],"")&gt;0,FALSE,TRUE)</f>
        <v>1</v>
      </c>
      <c r="G157" s="57">
        <f>COUNTIFS(tab_InstitutionConnections[Institution Connection Role],"Other Asset Originator",tab_InstitutionConnections[Country],"IE - Ireland",tab_InstitutionConnections[CRO],"")</f>
        <v>0</v>
      </c>
      <c r="H157" s="50"/>
      <c r="I157" s="50"/>
    </row>
    <row r="158" spans="1:9" ht="45" x14ac:dyDescent="0.25">
      <c r="A158" s="50">
        <v>155</v>
      </c>
      <c r="B158" s="50" t="s">
        <v>1165</v>
      </c>
      <c r="C158" s="54" t="s">
        <v>1226</v>
      </c>
      <c r="D158" s="55" t="s">
        <v>1226</v>
      </c>
      <c r="E158" s="56" t="s">
        <v>857</v>
      </c>
      <c r="F158" s="116" t="b">
        <f>IF(COUNTIFS(tab_InstitutionConnections[Institution Connection Role],"SPE Intermediaries",tab_InstitutionConnections[Country],"IE - Ireland",tab_InstitutionConnections[CRO],"")&gt;0,FALSE,TRUE)</f>
        <v>1</v>
      </c>
      <c r="G158" s="57">
        <f>COUNTIFS(tab_InstitutionConnections[Institution Connection Role],"SPE Intermediaries",tab_InstitutionConnections[Country],"IE - Ireland",tab_InstitutionConnections[CRO],"")</f>
        <v>0</v>
      </c>
      <c r="H158" s="50"/>
      <c r="I158" s="50"/>
    </row>
    <row r="159" spans="1:9" ht="45" x14ac:dyDescent="0.25">
      <c r="A159" s="58">
        <v>156</v>
      </c>
      <c r="B159" s="50" t="s">
        <v>1165</v>
      </c>
      <c r="C159" s="54" t="s">
        <v>1226</v>
      </c>
      <c r="D159" s="55" t="s">
        <v>1226</v>
      </c>
      <c r="E159" s="56" t="s">
        <v>858</v>
      </c>
      <c r="F159" s="116" t="b">
        <f>IF(COUNTIFS(tab_InstitutionConnections[Institution Connection Role],"Consolidator",tab_InstitutionConnections[Country],"IE - Ireland",tab_InstitutionConnections[CRO],"")&gt;0,FALSE,TRUE)</f>
        <v>1</v>
      </c>
      <c r="G159" s="57">
        <f>COUNTIFS(tab_InstitutionConnections[Institution Connection Role],"Consolidator",tab_InstitutionConnections[Country],"IE - Ireland",tab_InstitutionConnections[CRO],"")</f>
        <v>0</v>
      </c>
      <c r="H159" s="50"/>
      <c r="I159" s="50"/>
    </row>
    <row r="160" spans="1:9" ht="45" x14ac:dyDescent="0.25">
      <c r="A160" s="50">
        <v>157</v>
      </c>
      <c r="B160" s="50" t="s">
        <v>1165</v>
      </c>
      <c r="C160" s="54" t="s">
        <v>1226</v>
      </c>
      <c r="D160" s="55" t="s">
        <v>1226</v>
      </c>
      <c r="E160" s="56" t="s">
        <v>859</v>
      </c>
      <c r="F160" s="116" t="b">
        <f>IF(COUNTIFS(tab_InstitutionConnections[Institution Connection Role],"Non-Consolidated Interest(s)",tab_InstitutionConnections[Country],"IE - Ireland",tab_InstitutionConnections[CRO],"")&gt;0,FALSE,TRUE)</f>
        <v>1</v>
      </c>
      <c r="G160" s="57">
        <f>COUNTIFS(tab_InstitutionConnections[Institution Connection Role],"Non-Consolidated Interest(s)",tab_InstitutionConnections[Country],"IE - Ireland",tab_InstitutionConnections[CRO],"")</f>
        <v>0</v>
      </c>
      <c r="H160" s="50"/>
      <c r="I160" s="50"/>
    </row>
    <row r="161" spans="1:9" ht="45" x14ac:dyDescent="0.25">
      <c r="A161" s="58">
        <v>158</v>
      </c>
      <c r="B161" s="50" t="s">
        <v>1165</v>
      </c>
      <c r="C161" s="54" t="s">
        <v>1226</v>
      </c>
      <c r="D161" s="55" t="s">
        <v>1226</v>
      </c>
      <c r="E161" s="56" t="s">
        <v>860</v>
      </c>
      <c r="F161" s="116" t="b">
        <f>IF(COUNTIFS(tab_InstitutionConnections[Institution Connection Role],"Guarantor(s)",tab_InstitutionConnections[Country],"IE - Ireland",tab_InstitutionConnections[CRO],"")&gt;0,FALSE,TRUE)</f>
        <v>1</v>
      </c>
      <c r="G161" s="57">
        <f>COUNTIFS(tab_InstitutionConnections[Institution Connection Role],"Guarantor(s)",tab_InstitutionConnections[Country],"IE - Ireland",tab_InstitutionConnections[CRO],"")</f>
        <v>0</v>
      </c>
      <c r="H161" s="50"/>
      <c r="I161" s="50"/>
    </row>
    <row r="162" spans="1:9" ht="60" x14ac:dyDescent="0.25">
      <c r="A162" s="50">
        <v>159</v>
      </c>
      <c r="B162" s="50" t="s">
        <v>1165</v>
      </c>
      <c r="C162" s="54" t="s">
        <v>865</v>
      </c>
      <c r="D162" s="55" t="s">
        <v>865</v>
      </c>
      <c r="E162" s="56" t="s">
        <v>864</v>
      </c>
      <c r="F162" s="116" t="b">
        <f>IF(COUNTIFS(tab_InstitutionConnections[Institution Connection Role],"SPE Intermediaries",tab_InstitutionConnections[CRO],"",tab_InstitutionConnections[LEI],"",tab_InstitutionConnections[Other Identifier Name],"")&gt;0,FALSE,TRUE)</f>
        <v>1</v>
      </c>
      <c r="G162" s="57">
        <f>COUNTIFS(tab_InstitutionConnections[Institution Connection Role],"SPE Intermediaries",tab_InstitutionConnections[CRO],"",tab_InstitutionConnections[LEI],"",tab_InstitutionConnections[Other Identifier Name],"")</f>
        <v>0</v>
      </c>
      <c r="H162" s="50"/>
      <c r="I162" s="50"/>
    </row>
    <row r="163" spans="1:9" ht="60" x14ac:dyDescent="0.25">
      <c r="A163" s="58">
        <v>160</v>
      </c>
      <c r="B163" s="50" t="s">
        <v>1165</v>
      </c>
      <c r="C163" s="54" t="s">
        <v>865</v>
      </c>
      <c r="D163" s="55" t="s">
        <v>865</v>
      </c>
      <c r="E163" s="56" t="s">
        <v>866</v>
      </c>
      <c r="F163" s="116" t="b">
        <f>IF(COUNTIFS(tab_InstitutionConnections[Institution Connection Role],"Consolidator",tab_InstitutionConnections[CRO],"",tab_InstitutionConnections[LEI],"",tab_InstitutionConnections[Other Identifier Name],"")&gt;0,FALSE,TRUE)</f>
        <v>1</v>
      </c>
      <c r="G163" s="57">
        <f>COUNTIFS(tab_InstitutionConnections[Institution Connection Role],"Consolidator",tab_InstitutionConnections[CRO],"",tab_InstitutionConnections[LEI],"",tab_InstitutionConnections[Other Identifier Name],"")</f>
        <v>0</v>
      </c>
      <c r="H163" s="50"/>
      <c r="I163" s="50"/>
    </row>
    <row r="164" spans="1:9" ht="60" x14ac:dyDescent="0.25">
      <c r="A164" s="50">
        <v>161</v>
      </c>
      <c r="B164" s="50" t="s">
        <v>1165</v>
      </c>
      <c r="C164" s="54" t="s">
        <v>865</v>
      </c>
      <c r="D164" s="55" t="s">
        <v>865</v>
      </c>
      <c r="E164" s="56" t="s">
        <v>867</v>
      </c>
      <c r="F164" s="116" t="b">
        <f>IF(COUNTIFS(tab_InstitutionConnections[Institution Connection Role],"Non-Consolidated Interest(s)",tab_InstitutionConnections[CRO],"",tab_InstitutionConnections[LEI],"",tab_InstitutionConnections[Other Identifier Name],"")&gt;0,FALSE,TRUE)</f>
        <v>1</v>
      </c>
      <c r="G164" s="57">
        <f>COUNTIFS(tab_InstitutionConnections[Institution Connection Role],"Non-Consolidated Interest(s)",tab_InstitutionConnections[CRO],"",tab_InstitutionConnections[LEI],"",tab_InstitutionConnections[Other Identifier Name],"")</f>
        <v>0</v>
      </c>
      <c r="H164" s="50"/>
      <c r="I164" s="50"/>
    </row>
    <row r="165" spans="1:9" ht="60" x14ac:dyDescent="0.25">
      <c r="A165" s="58">
        <v>162</v>
      </c>
      <c r="B165" s="50" t="s">
        <v>1165</v>
      </c>
      <c r="C165" s="54" t="s">
        <v>865</v>
      </c>
      <c r="D165" s="55" t="s">
        <v>865</v>
      </c>
      <c r="E165" s="56" t="s">
        <v>868</v>
      </c>
      <c r="F165" s="116" t="b">
        <f>IF(COUNTIFS(tab_InstitutionConnections[Institution Connection Role],"Guarantor(s)",tab_InstitutionConnections[CRO],"",tab_InstitutionConnections[LEI],"",tab_InstitutionConnections[Other Identifier Name],"")&gt;0,FALSE,TRUE)</f>
        <v>1</v>
      </c>
      <c r="G165" s="57">
        <f>COUNTIFS(tab_InstitutionConnections[Institution Connection Role],"Guarantor(s)",tab_InstitutionConnections[CRO],"",tab_InstitutionConnections[LEI],"",tab_InstitutionConnections[Other Identifier Name],"")</f>
        <v>0</v>
      </c>
      <c r="H165" s="50"/>
      <c r="I165" s="50"/>
    </row>
    <row r="166" spans="1:9" ht="225" x14ac:dyDescent="0.25">
      <c r="A166" s="50">
        <v>163</v>
      </c>
      <c r="B166" s="50" t="s">
        <v>1165</v>
      </c>
      <c r="C166" s="54" t="s">
        <v>1350</v>
      </c>
      <c r="D166" s="55" t="s">
        <v>1350</v>
      </c>
      <c r="E166" s="74" t="s">
        <v>1386</v>
      </c>
      <c r="F166" s="119" t="b">
        <f t="array" ref="F166">IF(NOT(AND(ref_LegalEntityType="Financial Vehicle Corporation (FVC)",COUNTIF(tab_InstitutionConnections[Institution Connection Role],"Designated Originator as per SECR")&gt;0)),TRUE,IF(NOT(AND(COUNTIF(tab_InstitutionConnections[Institution Connection Role],"Loan originator – as per Art 2(3a)")&gt;0,COUNTIF(tab_InstitutionConnections[Institution Connection Role],"Third party purchaser – as per Art 2(3b)")&gt;0)),FALSE,IF(NOT(AND(OR(INDEX(tab_InstitutionConnections[LEI],MATCH("Designated Originator as per SECR",tab_InstitutionConnections[Institution Connection Role],0))=INDEX(tab_InstitutionConnections[LEI],MATCH("Loan originator – as per Art 2(3a)",tab_InstitutionConnections[Institution Connection Role],0)),INDEX(tab_InstitutionConnections[LEI],MATCH("Designated Originator as per SECR",tab_InstitutionConnections[Institution Connection Role],0))=INDEX(tab_InstitutionConnections[LEI],MATCH("Third party purchaser – as per Art 2(3b)",tab_InstitutionConnections[Institution Connection Role],0))),OR(INDEX(tab_InstitutionConnections[Central Bank Institution Number],MATCH("Designated Originator as per SECR",tab_InstitutionConnections[Institution Connection Role],0))=INDEX(tab_InstitutionConnections[Central Bank Institution Number],MATCH("Loan originator – as per Art 2(3a)",tab_InstitutionConnections[Institution Connection Role],0)),INDEX(tab_InstitutionConnections[Central Bank Institution Number],MATCH("Designated Originator as per SECR",tab_InstitutionConnections[Institution Connection Role],0))=INDEX(tab_InstitutionConnections[Central Bank Institution Number],MATCH("Third party purchaser – as per Art 2(3b)",tab_InstitutionConnections[Institution Connection Role],0))),OR(INDEX(tab_InstitutionConnections[Institution Name],MATCH("Designated Originator as per SECR",tab_InstitutionConnections[Institution Connection Role],0))=INDEX(tab_InstitutionConnections[Institution Name],MATCH("Loan originator – as per Art 2(3a)",tab_InstitutionConnections[Institution Connection Role],0)),INDEX(tab_InstitutionConnections[Institution Name],MATCH("Designated Originator as per SECR",tab_InstitutionConnections[Institution Connection Role],0))=INDEX(tab_InstitutionConnections[Institution Name],MATCH("Third party purchaser – as per Art 2(3b)",tab_InstitutionConnections[Institution Connection Role],0))))),FALSE,TRUE)))</f>
        <v>1</v>
      </c>
      <c r="G166" s="54" t="s">
        <v>1222</v>
      </c>
      <c r="H166" s="50"/>
      <c r="I166" s="50"/>
    </row>
    <row r="167" spans="1:9" ht="150" x14ac:dyDescent="0.25">
      <c r="A167" s="58">
        <v>164</v>
      </c>
      <c r="B167" s="50" t="s">
        <v>1165</v>
      </c>
      <c r="C167" s="54" t="s">
        <v>1343</v>
      </c>
      <c r="D167" s="55" t="s">
        <v>1343</v>
      </c>
      <c r="E167" s="56" t="s">
        <v>1344</v>
      </c>
      <c r="F167" s="116" t="b">
        <f>IF(SUM(COUNTIFS(tab_InstitutionConnections[Institution Connection Role],"SPE Sponsor(s)",tab_InstitutionConnections[Country],"IE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Number],""))&gt;0,FALSE,TRUE)</f>
        <v>1</v>
      </c>
      <c r="G167" s="57">
        <f>SUM(COUNTIFS(tab_InstitutionConnections[Institution Connection Role],"SPE Sponsor(s)",tab_InstitutionConnections[Country],"IE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</f>
        <v>0</v>
      </c>
      <c r="H167" s="50"/>
      <c r="I167" s="50"/>
    </row>
    <row r="168" spans="1:9" ht="30" x14ac:dyDescent="0.25">
      <c r="A168" s="50">
        <v>165</v>
      </c>
      <c r="B168" s="50" t="s">
        <v>1165</v>
      </c>
      <c r="C168" s="54" t="s">
        <v>825</v>
      </c>
      <c r="D168" s="55" t="s">
        <v>825</v>
      </c>
      <c r="E168" s="56" t="s">
        <v>828</v>
      </c>
      <c r="F168" s="116" t="b">
        <f>IF(COUNTIFS(tab_InstitutionConnections[Institution Connection Role],"SPE Sponsor(s)",tab_InstitutionConnections[Institution Name],"")&gt;0,FALSE,TRUE)</f>
        <v>1</v>
      </c>
      <c r="G168" s="57">
        <f>COUNTIFS(tab_InstitutionConnections[Institution Connection Role],"SPE Sponsor(s)",tab_InstitutionConnections[Institution Name],"")</f>
        <v>0</v>
      </c>
      <c r="H168" s="50"/>
      <c r="I168" s="50"/>
    </row>
    <row r="169" spans="1:9" ht="30" x14ac:dyDescent="0.25">
      <c r="A169" s="58">
        <v>166</v>
      </c>
      <c r="B169" s="50" t="s">
        <v>1165</v>
      </c>
      <c r="C169" s="54" t="s">
        <v>825</v>
      </c>
      <c r="D169" s="55" t="s">
        <v>825</v>
      </c>
      <c r="E169" s="56" t="s">
        <v>831</v>
      </c>
      <c r="F169" s="116" t="b">
        <f>IF(COUNTIFS(tab_InstitutionConnections[Institution Connection Role],"Issuer of Debt securities held",tab_InstitutionConnections[Institution Name],"")&gt;0,FALSE,TRUE)</f>
        <v>1</v>
      </c>
      <c r="G169" s="57">
        <f>COUNTIFS(tab_InstitutionConnections[Institution Connection Role],"Issuer of Debt securities held",tab_InstitutionConnections[Institution Name],"")</f>
        <v>0</v>
      </c>
      <c r="H169" s="50"/>
      <c r="I169" s="50"/>
    </row>
    <row r="170" spans="1:9" ht="30" x14ac:dyDescent="0.25">
      <c r="A170" s="50">
        <v>167</v>
      </c>
      <c r="B170" s="50" t="s">
        <v>1165</v>
      </c>
      <c r="C170" s="54" t="s">
        <v>825</v>
      </c>
      <c r="D170" s="55" t="s">
        <v>825</v>
      </c>
      <c r="E170" s="56" t="s">
        <v>834</v>
      </c>
      <c r="F170" s="116" t="b">
        <f>IF(COUNTIFS(tab_InstitutionConnections[Institution Connection Role],"Loan originator – as per Art 2(3a)",tab_InstitutionConnections[Institution Name],"")&gt;0,FALSE,TRUE)</f>
        <v>1</v>
      </c>
      <c r="G170" s="57">
        <f>COUNTIFS(tab_InstitutionConnections[Institution Connection Role],"Loan originator – as per Art 2(3a)",tab_InstitutionConnections[Institution Name],"")</f>
        <v>0</v>
      </c>
      <c r="H170" s="50"/>
      <c r="I170" s="50"/>
    </row>
    <row r="171" spans="1:9" ht="30" x14ac:dyDescent="0.25">
      <c r="A171" s="58">
        <v>168</v>
      </c>
      <c r="B171" s="50" t="s">
        <v>1165</v>
      </c>
      <c r="C171" s="54" t="s">
        <v>825</v>
      </c>
      <c r="D171" s="55" t="s">
        <v>825</v>
      </c>
      <c r="E171" s="56" t="s">
        <v>837</v>
      </c>
      <c r="F171" s="116" t="b">
        <f>IF(COUNTIFS(tab_InstitutionConnections[Institution Connection Role],"Third party purchaser – as per Art 2(3b)",tab_InstitutionConnections[Institution Name],"")&gt;0,FALSE,TRUE)</f>
        <v>1</v>
      </c>
      <c r="G171" s="57">
        <f>COUNTIFS(tab_InstitutionConnections[Institution Connection Role],"Third party purchaser – as per Art 2(3b)",tab_InstitutionConnections[Institution Name],"")</f>
        <v>0</v>
      </c>
      <c r="H171" s="50"/>
      <c r="I171" s="50"/>
    </row>
    <row r="172" spans="1:9" ht="30" x14ac:dyDescent="0.25">
      <c r="A172" s="50">
        <v>169</v>
      </c>
      <c r="B172" s="50" t="s">
        <v>1165</v>
      </c>
      <c r="C172" s="54" t="s">
        <v>825</v>
      </c>
      <c r="D172" s="55" t="s">
        <v>825</v>
      </c>
      <c r="E172" s="56" t="s">
        <v>840</v>
      </c>
      <c r="F172" s="116" t="b">
        <f>IF(COUNTIFS(tab_InstitutionConnections[Institution Connection Role],"Other Asset Originator",tab_InstitutionConnections[Institution Name],"")&gt;0,FALSE,TRUE)</f>
        <v>1</v>
      </c>
      <c r="G172" s="57">
        <f>COUNTIFS(tab_InstitutionConnections[Institution Connection Role],"Other Asset Originator",tab_InstitutionConnections[Institution Name],"")</f>
        <v>0</v>
      </c>
      <c r="H172" s="50"/>
      <c r="I172" s="50"/>
    </row>
    <row r="173" spans="1:9" ht="30" x14ac:dyDescent="0.25">
      <c r="A173" s="58">
        <v>170</v>
      </c>
      <c r="B173" s="50" t="s">
        <v>1165</v>
      </c>
      <c r="C173" s="54" t="s">
        <v>825</v>
      </c>
      <c r="D173" s="55" t="s">
        <v>825</v>
      </c>
      <c r="E173" s="56" t="s">
        <v>862</v>
      </c>
      <c r="F173" s="116" t="b">
        <f>IF(COUNTIFS(tab_InstitutionConnections[Institution Connection Role],"SPE Intermediaries",tab_InstitutionConnections[Institution Name],"")&gt;0,FALSE,TRUE)</f>
        <v>1</v>
      </c>
      <c r="G173" s="57">
        <f>COUNTIFS(tab_InstitutionConnections[Institution Connection Role],"SPE Intermediaries",tab_InstitutionConnections[Institution Name],"")</f>
        <v>0</v>
      </c>
      <c r="H173" s="50"/>
      <c r="I173" s="50"/>
    </row>
    <row r="174" spans="1:9" ht="30" x14ac:dyDescent="0.25">
      <c r="A174" s="50">
        <v>171</v>
      </c>
      <c r="B174" s="50" t="s">
        <v>1165</v>
      </c>
      <c r="C174" s="54" t="s">
        <v>825</v>
      </c>
      <c r="D174" s="55" t="s">
        <v>825</v>
      </c>
      <c r="E174" s="56" t="s">
        <v>843</v>
      </c>
      <c r="F174" s="116" t="b">
        <f>IF(COUNTIFS(tab_InstitutionConnections[Institution Connection Role],"Consolidator",tab_InstitutionConnections[Institution Name],"")&gt;0,FALSE,TRUE)</f>
        <v>1</v>
      </c>
      <c r="G174" s="57">
        <f>COUNTIFS(tab_InstitutionConnections[Institution Connection Role],"Consolidator",tab_InstitutionConnections[Institution Name],"")</f>
        <v>0</v>
      </c>
      <c r="H174" s="50"/>
      <c r="I174" s="50"/>
    </row>
    <row r="175" spans="1:9" ht="30" x14ac:dyDescent="0.25">
      <c r="A175" s="58">
        <v>172</v>
      </c>
      <c r="B175" s="50" t="s">
        <v>1165</v>
      </c>
      <c r="C175" s="54" t="s">
        <v>825</v>
      </c>
      <c r="D175" s="55" t="s">
        <v>825</v>
      </c>
      <c r="E175" s="56" t="s">
        <v>846</v>
      </c>
      <c r="F175" s="116" t="b">
        <f>IF(COUNTIFS(tab_InstitutionConnections[Institution Connection Role],"Non-Consolidated Interest(s)",tab_InstitutionConnections[Institution Name],"")&gt;0,FALSE,TRUE)</f>
        <v>1</v>
      </c>
      <c r="G175" s="57">
        <f>COUNTIFS(tab_InstitutionConnections[Institution Connection Role],"Non-Consolidated Interest(s)",tab_InstitutionConnections[Institution Name],"")</f>
        <v>0</v>
      </c>
      <c r="H175" s="50"/>
      <c r="I175" s="50"/>
    </row>
    <row r="176" spans="1:9" ht="30" x14ac:dyDescent="0.25">
      <c r="A176" s="50">
        <v>173</v>
      </c>
      <c r="B176" s="50" t="s">
        <v>1165</v>
      </c>
      <c r="C176" s="54" t="s">
        <v>825</v>
      </c>
      <c r="D176" s="55" t="s">
        <v>825</v>
      </c>
      <c r="E176" s="56" t="s">
        <v>849</v>
      </c>
      <c r="F176" s="116" t="b">
        <f>IF(COUNTIFS(tab_InstitutionConnections[Institution Connection Role],"Guarantor(s)",tab_InstitutionConnections[Institution Name],"")&gt;0,FALSE,TRUE)</f>
        <v>1</v>
      </c>
      <c r="G176" s="57">
        <f>COUNTIFS(tab_InstitutionConnections[Institution Connection Role],"Guarantor(s)",tab_InstitutionConnections[Institution Name],"")</f>
        <v>0</v>
      </c>
      <c r="H176" s="50"/>
      <c r="I176" s="50"/>
    </row>
    <row r="177" spans="1:9" ht="150" x14ac:dyDescent="0.25">
      <c r="A177" s="58">
        <v>174</v>
      </c>
      <c r="B177" s="50" t="s">
        <v>1165</v>
      </c>
      <c r="C177" s="54" t="s">
        <v>1345</v>
      </c>
      <c r="D177" s="55" t="s">
        <v>1345</v>
      </c>
      <c r="E177" s="56" t="s">
        <v>1346</v>
      </c>
      <c r="F177" s="116" t="b">
        <f>IF(SUM(COUNTIFS(tab_InstitutionConnections[Institution Connection Role],"Issuer of Debt securities held",tab_InstitutionConnections[Country],"IE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Number],""))&gt;0,FALSE,TRUE)</f>
        <v>1</v>
      </c>
      <c r="G177" s="57">
        <f>SUM(COUNTIFS(tab_InstitutionConnections[Institution Connection Role],"Issuer of Debt securities held",tab_InstitutionConnections[Country],"IE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</f>
        <v>0</v>
      </c>
      <c r="H177" s="50"/>
      <c r="I177" s="50"/>
    </row>
    <row r="178" spans="1:9" ht="150" x14ac:dyDescent="0.25">
      <c r="A178" s="50">
        <v>175</v>
      </c>
      <c r="B178" s="50" t="s">
        <v>1165</v>
      </c>
      <c r="C178" s="54" t="s">
        <v>1345</v>
      </c>
      <c r="D178" s="55" t="s">
        <v>1345</v>
      </c>
      <c r="E178" s="56" t="s">
        <v>1347</v>
      </c>
      <c r="F178" s="116" t="b">
        <f>IF(SUM(COUNTIFS(tab_InstitutionConnections[Institution Connection Role],"Loan originator – as per Art 2(3a)",tab_InstitutionConnections[Country],"IE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Number],""))&gt;0,FALSE,TRUE)</f>
        <v>1</v>
      </c>
      <c r="G178" s="57">
        <f>SUM(COUNTIFS(tab_InstitutionConnections[Institution Connection Role],"Loan originator – as per Art 2(3a)",tab_InstitutionConnections[Country],"IE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</f>
        <v>0</v>
      </c>
      <c r="H178" s="50"/>
      <c r="I178" s="50"/>
    </row>
    <row r="179" spans="1:9" ht="165" x14ac:dyDescent="0.25">
      <c r="A179" s="58">
        <v>176</v>
      </c>
      <c r="B179" s="50" t="s">
        <v>1165</v>
      </c>
      <c r="C179" s="54" t="s">
        <v>1345</v>
      </c>
      <c r="D179" s="55" t="s">
        <v>1345</v>
      </c>
      <c r="E179" s="56" t="s">
        <v>1348</v>
      </c>
      <c r="F179" s="116" t="b">
        <f>IF(SUM(COUNTIFS(tab_InstitutionConnections[Institution Connection Role],"Third party purchaser – as per Art 2(3b)",tab_InstitutionConnections[Country],"IE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Number],""))&gt;0,FALSE,TRUE)</f>
        <v>1</v>
      </c>
      <c r="G179" s="57">
        <f>SUM(COUNTIFS(tab_InstitutionConnections[Institution Connection Role],"Third party purchaser – as per Art 2(3b)",tab_InstitutionConnections[Country],"IE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</f>
        <v>0</v>
      </c>
      <c r="H179" s="50"/>
      <c r="I179" s="50"/>
    </row>
    <row r="180" spans="1:9" ht="150" x14ac:dyDescent="0.25">
      <c r="A180" s="50">
        <v>177</v>
      </c>
      <c r="B180" s="50" t="s">
        <v>1165</v>
      </c>
      <c r="C180" s="54" t="s">
        <v>1345</v>
      </c>
      <c r="D180" s="55" t="s">
        <v>1345</v>
      </c>
      <c r="E180" s="56" t="s">
        <v>1349</v>
      </c>
      <c r="F180" s="116" t="b">
        <f>IF(SUM(COUNTIFS(tab_InstitutionConnections[Institution Connection Role],"Other Asset Originator",tab_InstitutionConnections[Country],"IE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Number],""))&gt;0,FALSE,TRUE)</f>
        <v>1</v>
      </c>
      <c r="G180" s="57">
        <f>SUM(COUNTIFS(tab_InstitutionConnections[Institution Connection Role],"Other Asset Originator",tab_InstitutionConnections[Country],"IE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</f>
        <v>0</v>
      </c>
      <c r="H180" s="50"/>
      <c r="I180" s="50"/>
    </row>
    <row r="181" spans="1:9" ht="150" x14ac:dyDescent="0.25">
      <c r="A181" s="58">
        <v>178</v>
      </c>
      <c r="B181" s="50" t="s">
        <v>1165</v>
      </c>
      <c r="C181" s="54" t="s">
        <v>1345</v>
      </c>
      <c r="D181" s="55" t="s">
        <v>1345</v>
      </c>
      <c r="E181" s="56" t="s">
        <v>1351</v>
      </c>
      <c r="F181" s="116" t="b">
        <f>IF(SUM(COUNTIFS(tab_InstitutionConnections[Institution Connection Role],"SPE Intermediaries",tab_InstitutionConnections[Country],"IE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Number],""))&gt;0,FALSE,TRUE)</f>
        <v>1</v>
      </c>
      <c r="G181" s="57">
        <f>SUM(COUNTIFS(tab_InstitutionConnections[Institution Connection Role],"SPE Intermediaries",tab_InstitutionConnections[Country],"IE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</f>
        <v>0</v>
      </c>
      <c r="H181" s="50"/>
      <c r="I181" s="50"/>
    </row>
    <row r="182" spans="1:9" ht="150" x14ac:dyDescent="0.25">
      <c r="A182" s="50">
        <v>179</v>
      </c>
      <c r="B182" s="50" t="s">
        <v>1165</v>
      </c>
      <c r="C182" s="54" t="s">
        <v>1345</v>
      </c>
      <c r="D182" s="55" t="s">
        <v>1345</v>
      </c>
      <c r="E182" s="56" t="s">
        <v>1352</v>
      </c>
      <c r="F182" s="116" t="b">
        <f>IF(SUM(COUNTIFS(tab_InstitutionConnections[Institution Connection Role],"Consolidator",tab_InstitutionConnections[Country],"IE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Number],""))&gt;0,FALSE,TRUE)</f>
        <v>1</v>
      </c>
      <c r="G182" s="57">
        <f>SUM(COUNTIFS(tab_InstitutionConnections[Institution Connection Role],"Consolidator",tab_InstitutionConnections[Country],"IE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</f>
        <v>0</v>
      </c>
      <c r="H182" s="50"/>
      <c r="I182" s="50"/>
    </row>
    <row r="183" spans="1:9" ht="150" x14ac:dyDescent="0.25">
      <c r="A183" s="58">
        <v>180</v>
      </c>
      <c r="B183" s="50" t="s">
        <v>1165</v>
      </c>
      <c r="C183" s="54" t="s">
        <v>1345</v>
      </c>
      <c r="D183" s="55" t="s">
        <v>1345</v>
      </c>
      <c r="E183" s="56" t="s">
        <v>1353</v>
      </c>
      <c r="F183" s="116" t="b">
        <f>IF(SUM(COUNTIFS(tab_InstitutionConnections[Institution Connection Role],"Non-Consolidated Interest(s)",tab_InstitutionConnections[Country],"IE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Number],""))&gt;0,FALSE,TRUE)</f>
        <v>1</v>
      </c>
      <c r="G183" s="57">
        <f>SUM(COUNTIFS(tab_InstitutionConnections[Institution Connection Role],"Non-Consolidated Interest(s)",tab_InstitutionConnections[Country],"IE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</f>
        <v>0</v>
      </c>
      <c r="H183" s="50"/>
      <c r="I183" s="50"/>
    </row>
    <row r="184" spans="1:9" ht="150" x14ac:dyDescent="0.25">
      <c r="A184" s="50">
        <v>181</v>
      </c>
      <c r="B184" s="50" t="s">
        <v>1165</v>
      </c>
      <c r="C184" s="54" t="s">
        <v>1345</v>
      </c>
      <c r="D184" s="55" t="s">
        <v>1345</v>
      </c>
      <c r="E184" s="56" t="s">
        <v>1354</v>
      </c>
      <c r="F184" s="116" t="b">
        <f>IF(SUM(COUNTIFS(tab_InstitutionConnections[Institution Connection Role],"Guarantor(s)",tab_InstitutionConnections[Country],"IE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Number],""))&gt;0,FALSE,TRUE)</f>
        <v>1</v>
      </c>
      <c r="G184" s="57">
        <f>SUM(COUNTIFS(tab_InstitutionConnections[Institution Connection Role],"Guarantor(s)",tab_InstitutionConnections[Country],"IE - Ireland",tab_InstitutionConnections[Sector],{"DTC - Deposit-Taking Corporation","IC - Insurance Corporation","PF - Pension Fund","FVC - Financial Vehicle Corporation","SPV - Special Purpose Vehicle","IF - Investment Funds (excl MMF)","MMF - Money Market Fund"},tab_InstitutionConnections[Central Bank Institution Number],""))</f>
        <v>0</v>
      </c>
      <c r="H184" s="50"/>
      <c r="I184" s="50"/>
    </row>
    <row r="185" spans="1:9" ht="60" x14ac:dyDescent="0.25">
      <c r="A185" s="58">
        <v>182</v>
      </c>
      <c r="B185" s="50" t="s">
        <v>1165</v>
      </c>
      <c r="C185" s="75" t="s">
        <v>870</v>
      </c>
      <c r="D185" s="76" t="s">
        <v>870</v>
      </c>
      <c r="E185" s="77" t="s">
        <v>869</v>
      </c>
      <c r="F185" s="116" t="b">
        <f>IF(( COUNTIFS(tab_InstitutionConnections[Other Identifier Name],"&lt;&gt;",tab_InstitutionConnections[Other Identifier Value],"") + COUNTIFS(tab_InstitutionConnections[Other Identifier Name],"",tab_InstitutionConnections[Other Identifier Value],"&lt;&gt;"))&gt;0,FALSE,TRUE)</f>
        <v>1</v>
      </c>
      <c r="G185" s="57">
        <f>( COUNTIFS(tab_InstitutionConnections[Other Identifier Name],"&lt;&gt;",tab_InstitutionConnections[Other Identifier Value],"") + COUNTIFS(tab_InstitutionConnections[Other Identifier Name],"",tab_InstitutionConnections[Other Identifier Value],"&lt;&gt;"))</f>
        <v>0</v>
      </c>
      <c r="H185" s="50"/>
      <c r="I185" s="50"/>
    </row>
    <row r="186" spans="1:9" ht="30" x14ac:dyDescent="0.25">
      <c r="A186" s="50">
        <v>183</v>
      </c>
      <c r="B186" s="60" t="s">
        <v>1166</v>
      </c>
      <c r="C186" s="54" t="s">
        <v>532</v>
      </c>
      <c r="D186" s="64" t="s">
        <v>532</v>
      </c>
      <c r="E186" s="56" t="s">
        <v>1221</v>
      </c>
      <c r="F186" s="120" t="b">
        <f>IF(MAX(tab_DebtIssuanceCurrency[Count])&gt;1,FALSE,TRUE)</f>
        <v>1</v>
      </c>
      <c r="G186" s="78">
        <f>COUNTIF(tab_DebtIssuanceCurrency[Count],"&gt;1")</f>
        <v>0</v>
      </c>
      <c r="H186" s="50"/>
      <c r="I186" s="50"/>
    </row>
    <row r="187" spans="1:9" x14ac:dyDescent="0.25">
      <c r="A187" s="58">
        <v>184</v>
      </c>
      <c r="B187" s="60" t="s">
        <v>1166</v>
      </c>
      <c r="C187" s="54" t="s">
        <v>532</v>
      </c>
      <c r="D187" s="64" t="s">
        <v>532</v>
      </c>
      <c r="E187" s="56" t="s">
        <v>1223</v>
      </c>
      <c r="F187" s="116" t="b">
        <f>IF((SUMPRODUCT(--(ISNA(MATCH(tab_DebtIssuanceCurrency[Debt Issuance Currency],lis_Currency,0)))) - COUNTBLANK(tab_DebtIssuanceCurrency[Debt Issuance Currency]))&gt;0,FALSE,TRUE)</f>
        <v>1</v>
      </c>
      <c r="G187" s="57">
        <f>SUMPRODUCT(--(ISNA(MATCH(tab_DebtIssuanceCurrency[Debt Issuance Currency],lis_Currency,0)))) - COUNTBLANK(tab_DebtIssuanceCurrency[Debt Issuance Currency])</f>
        <v>0</v>
      </c>
      <c r="H187" s="50"/>
      <c r="I187" s="50"/>
    </row>
    <row r="188" spans="1:9" x14ac:dyDescent="0.25">
      <c r="A188" s="79"/>
      <c r="B188" s="79"/>
      <c r="C188" s="80"/>
      <c r="D188" s="81"/>
      <c r="E188" s="56"/>
      <c r="F188" s="82"/>
      <c r="G188" s="82"/>
      <c r="H188" s="83"/>
    </row>
    <row r="190" spans="1:9" x14ac:dyDescent="0.25">
      <c r="D190" s="84"/>
      <c r="E190" s="50"/>
      <c r="H190" s="50"/>
      <c r="I190" s="50"/>
    </row>
    <row r="191" spans="1:9" x14ac:dyDescent="0.25">
      <c r="D191" s="84"/>
      <c r="E191" s="50"/>
      <c r="H191" s="50"/>
      <c r="I191" s="50"/>
    </row>
    <row r="192" spans="1:9" x14ac:dyDescent="0.25">
      <c r="D192" s="84"/>
      <c r="E192" s="50"/>
      <c r="H192" s="50"/>
      <c r="I192" s="50"/>
    </row>
    <row r="193" spans="4:9" x14ac:dyDescent="0.25">
      <c r="D193" s="84"/>
      <c r="E193" s="50"/>
      <c r="H193" s="50"/>
      <c r="I193" s="50"/>
    </row>
    <row r="194" spans="4:9" x14ac:dyDescent="0.25">
      <c r="D194" s="84"/>
      <c r="E194" s="50"/>
      <c r="H194" s="50"/>
      <c r="I194" s="50"/>
    </row>
    <row r="195" spans="4:9" x14ac:dyDescent="0.25">
      <c r="D195" s="84"/>
      <c r="E195" s="50"/>
      <c r="H195" s="50"/>
      <c r="I195" s="50"/>
    </row>
    <row r="196" spans="4:9" x14ac:dyDescent="0.25">
      <c r="D196" s="84"/>
      <c r="E196" s="50"/>
      <c r="H196" s="50"/>
      <c r="I196" s="50"/>
    </row>
    <row r="197" spans="4:9" x14ac:dyDescent="0.25">
      <c r="D197" s="84"/>
      <c r="E197" s="50"/>
      <c r="H197" s="50"/>
      <c r="I197" s="50"/>
    </row>
    <row r="198" spans="4:9" x14ac:dyDescent="0.25">
      <c r="D198" s="84"/>
      <c r="E198" s="50"/>
      <c r="H198" s="50"/>
      <c r="I198" s="50"/>
    </row>
    <row r="199" spans="4:9" x14ac:dyDescent="0.25">
      <c r="D199" s="84"/>
      <c r="E199" s="50"/>
      <c r="H199" s="50"/>
      <c r="I199" s="50"/>
    </row>
    <row r="200" spans="4:9" x14ac:dyDescent="0.25">
      <c r="D200" s="84"/>
      <c r="E200" s="50"/>
      <c r="H200" s="50"/>
      <c r="I200" s="50"/>
    </row>
    <row r="201" spans="4:9" x14ac:dyDescent="0.25">
      <c r="D201" s="84"/>
      <c r="E201" s="50"/>
      <c r="H201" s="50"/>
      <c r="I201" s="50"/>
    </row>
    <row r="202" spans="4:9" x14ac:dyDescent="0.25">
      <c r="D202" s="84"/>
      <c r="E202" s="50"/>
      <c r="H202" s="50"/>
      <c r="I202" s="50"/>
    </row>
    <row r="203" spans="4:9" x14ac:dyDescent="0.25">
      <c r="D203" s="84"/>
      <c r="E203" s="50"/>
      <c r="H203" s="50"/>
      <c r="I203" s="50"/>
    </row>
    <row r="204" spans="4:9" x14ac:dyDescent="0.25">
      <c r="D204" s="84"/>
      <c r="E204" s="50"/>
      <c r="H204" s="50"/>
      <c r="I204" s="50"/>
    </row>
  </sheetData>
  <sheetProtection algorithmName="SHA-512" hashValue="CsjlIuutqhI4UmvaKlAlml97fFH7XPFC8NCFHIlXkDBSR3MoQ1AW11xf6Q3nBmaND+utwhTkMLfsKUwWSq5UVA==" saltValue="qdR2+pETgVCUtPQpWj1Oug==" spinCount="100000" sheet="1" objects="1" scenarios="1" sort="0" autoFilter="0"/>
  <conditionalFormatting sqref="F126:F187 F4:F124">
    <cfRule type="cellIs" dxfId="65" priority="15" operator="equal">
      <formula>"N/A"</formula>
    </cfRule>
    <cfRule type="cellIs" dxfId="64" priority="16" operator="equal">
      <formula>1</formula>
    </cfRule>
    <cfRule type="cellIs" dxfId="63" priority="17" operator="equal">
      <formula>"Yes"</formula>
    </cfRule>
    <cfRule type="cellIs" dxfId="62" priority="18" operator="equal">
      <formula>TRUE</formula>
    </cfRule>
    <cfRule type="cellIs" dxfId="61" priority="19" operator="equal">
      <formula>0</formula>
    </cfRule>
    <cfRule type="cellIs" dxfId="60" priority="20" operator="equal">
      <formula>"No"</formula>
    </cfRule>
    <cfRule type="cellIs" dxfId="59" priority="21" operator="equal">
      <formula>FALSE</formula>
    </cfRule>
  </conditionalFormatting>
  <conditionalFormatting sqref="F1">
    <cfRule type="cellIs" dxfId="58" priority="8" operator="equal">
      <formula>"N/A"</formula>
    </cfRule>
    <cfRule type="cellIs" dxfId="57" priority="9" operator="equal">
      <formula>1</formula>
    </cfRule>
    <cfRule type="cellIs" dxfId="56" priority="10" operator="equal">
      <formula>"Yes"</formula>
    </cfRule>
    <cfRule type="cellIs" dxfId="55" priority="11" operator="equal">
      <formula>TRUE</formula>
    </cfRule>
    <cfRule type="cellIs" dxfId="54" priority="12" operator="equal">
      <formula>0</formula>
    </cfRule>
    <cfRule type="cellIs" dxfId="53" priority="13" operator="equal">
      <formula>"No"</formula>
    </cfRule>
    <cfRule type="cellIs" dxfId="52" priority="14" operator="equal">
      <formula>FALSE</formula>
    </cfRule>
  </conditionalFormatting>
  <conditionalFormatting sqref="F125">
    <cfRule type="cellIs" dxfId="51" priority="1" operator="equal">
      <formula>"N/A"</formula>
    </cfRule>
    <cfRule type="cellIs" dxfId="50" priority="2" operator="equal">
      <formula>1</formula>
    </cfRule>
    <cfRule type="cellIs" dxfId="49" priority="3" operator="equal">
      <formula>"Yes"</formula>
    </cfRule>
    <cfRule type="cellIs" dxfId="48" priority="4" operator="equal">
      <formula>TRUE</formula>
    </cfRule>
    <cfRule type="cellIs" dxfId="47" priority="5" operator="equal">
      <formula>0</formula>
    </cfRule>
    <cfRule type="cellIs" dxfId="46" priority="6" operator="equal">
      <formula>"No"</formula>
    </cfRule>
    <cfRule type="cellIs" dxfId="45" priority="7" operator="equal">
      <formula>FALSE</formula>
    </cfRule>
  </conditionalFormatting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autoPageBreaks="0"/>
  </sheetPr>
  <dimension ref="A1:G68"/>
  <sheetViews>
    <sheetView zoomScaleNormal="100" workbookViewId="0"/>
  </sheetViews>
  <sheetFormatPr defaultColWidth="0" defaultRowHeight="15" zeroHeight="1" x14ac:dyDescent="0.25"/>
  <cols>
    <col min="1" max="2" width="4.5703125" style="85" customWidth="1"/>
    <col min="3" max="3" width="45.5703125" style="85" customWidth="1"/>
    <col min="4" max="4" width="40.5703125" style="85" customWidth="1"/>
    <col min="5" max="5" width="4.42578125" style="85" customWidth="1"/>
    <col min="6" max="7" width="0" style="85" hidden="1" customWidth="1"/>
    <col min="8" max="16384" width="9.140625" style="85" hidden="1"/>
  </cols>
  <sheetData>
    <row r="1" spans="1:5" x14ac:dyDescent="0.25">
      <c r="A1" s="1" t="s">
        <v>2</v>
      </c>
      <c r="B1" s="1" t="s">
        <v>3</v>
      </c>
      <c r="C1" s="19" t="s">
        <v>885</v>
      </c>
      <c r="D1" s="1"/>
      <c r="E1" s="2"/>
    </row>
    <row r="2" spans="1:5" x14ac:dyDescent="0.25">
      <c r="A2" s="3"/>
      <c r="B2" s="4"/>
      <c r="C2" s="20"/>
      <c r="D2" s="18"/>
      <c r="E2" s="5"/>
    </row>
    <row r="3" spans="1:5" x14ac:dyDescent="0.25">
      <c r="A3" s="6" t="s">
        <v>2</v>
      </c>
      <c r="B3" s="7" t="s">
        <v>3</v>
      </c>
      <c r="C3" s="21" t="s">
        <v>557</v>
      </c>
      <c r="D3" s="37"/>
      <c r="E3" s="5"/>
    </row>
    <row r="4" spans="1:5" x14ac:dyDescent="0.25">
      <c r="A4" s="6" t="s">
        <v>2</v>
      </c>
      <c r="B4" s="7" t="s">
        <v>3</v>
      </c>
      <c r="C4" s="21" t="s">
        <v>508</v>
      </c>
      <c r="D4" s="39"/>
      <c r="E4" s="5"/>
    </row>
    <row r="5" spans="1:5" x14ac:dyDescent="0.25">
      <c r="A5" s="6" t="s">
        <v>2</v>
      </c>
      <c r="B5" s="7" t="s">
        <v>3</v>
      </c>
      <c r="C5" s="21" t="s">
        <v>465</v>
      </c>
      <c r="D5" s="39"/>
      <c r="E5" s="5"/>
    </row>
    <row r="6" spans="1:5" x14ac:dyDescent="0.25">
      <c r="A6" s="6" t="s">
        <v>2</v>
      </c>
      <c r="B6" s="7" t="s">
        <v>3</v>
      </c>
      <c r="C6" s="21" t="s">
        <v>556</v>
      </c>
      <c r="D6" s="40"/>
      <c r="E6" s="5"/>
    </row>
    <row r="7" spans="1:5" x14ac:dyDescent="0.25">
      <c r="A7" s="6" t="s">
        <v>2</v>
      </c>
      <c r="B7" s="7" t="s">
        <v>3</v>
      </c>
      <c r="C7" s="21" t="s">
        <v>576</v>
      </c>
      <c r="D7" s="38"/>
      <c r="E7" s="5"/>
    </row>
    <row r="8" spans="1:5" x14ac:dyDescent="0.25">
      <c r="A8" s="6" t="s">
        <v>2</v>
      </c>
      <c r="B8" s="7" t="s">
        <v>3</v>
      </c>
      <c r="C8" s="21" t="s">
        <v>575</v>
      </c>
      <c r="D8" s="37"/>
      <c r="E8" s="5"/>
    </row>
    <row r="9" spans="1:5" x14ac:dyDescent="0.25">
      <c r="A9" s="6" t="s">
        <v>2</v>
      </c>
      <c r="B9" s="7" t="s">
        <v>3</v>
      </c>
      <c r="C9" s="21" t="s">
        <v>451</v>
      </c>
      <c r="D9" s="39"/>
      <c r="E9" s="5"/>
    </row>
    <row r="10" spans="1:5" x14ac:dyDescent="0.25">
      <c r="A10" s="6" t="s">
        <v>2</v>
      </c>
      <c r="B10" s="7" t="s">
        <v>3</v>
      </c>
      <c r="C10" s="21" t="s">
        <v>492</v>
      </c>
      <c r="D10" s="39"/>
      <c r="E10" s="5"/>
    </row>
    <row r="11" spans="1:5" x14ac:dyDescent="0.25">
      <c r="A11" s="6" t="s">
        <v>2</v>
      </c>
      <c r="B11" s="7" t="s">
        <v>3</v>
      </c>
      <c r="C11" s="21" t="s">
        <v>760</v>
      </c>
      <c r="D11" s="39"/>
      <c r="E11" s="5"/>
    </row>
    <row r="12" spans="1:5" x14ac:dyDescent="0.25">
      <c r="A12" s="6" t="s">
        <v>2</v>
      </c>
      <c r="B12" s="7" t="s">
        <v>3</v>
      </c>
      <c r="C12" s="21" t="s">
        <v>493</v>
      </c>
      <c r="D12" s="39"/>
      <c r="E12" s="5"/>
    </row>
    <row r="13" spans="1:5" x14ac:dyDescent="0.25">
      <c r="A13" s="6" t="s">
        <v>2</v>
      </c>
      <c r="B13" s="7" t="s">
        <v>3</v>
      </c>
      <c r="C13" s="21" t="s">
        <v>494</v>
      </c>
      <c r="D13" s="39"/>
      <c r="E13" s="5"/>
    </row>
    <row r="14" spans="1:5" x14ac:dyDescent="0.25">
      <c r="A14" s="6" t="s">
        <v>2</v>
      </c>
      <c r="B14" s="7" t="s">
        <v>3</v>
      </c>
      <c r="C14" s="21" t="s">
        <v>758</v>
      </c>
      <c r="D14" s="39"/>
      <c r="E14" s="5"/>
    </row>
    <row r="15" spans="1:5" x14ac:dyDescent="0.25">
      <c r="A15" s="6" t="s">
        <v>2</v>
      </c>
      <c r="B15" s="7" t="s">
        <v>3</v>
      </c>
      <c r="C15" s="21" t="s">
        <v>759</v>
      </c>
      <c r="D15" s="39"/>
      <c r="E15" s="5"/>
    </row>
    <row r="16" spans="1:5" x14ac:dyDescent="0.25">
      <c r="A16" s="6" t="s">
        <v>2</v>
      </c>
      <c r="B16" s="7" t="s">
        <v>3</v>
      </c>
      <c r="C16" s="21" t="s">
        <v>0</v>
      </c>
      <c r="D16" s="21" t="s">
        <v>286</v>
      </c>
      <c r="E16" s="5"/>
    </row>
    <row r="17" spans="1:5" x14ac:dyDescent="0.25">
      <c r="A17" s="8"/>
      <c r="B17" s="9"/>
      <c r="C17" s="22"/>
      <c r="D17" s="10"/>
      <c r="E17" s="5"/>
    </row>
    <row r="18" spans="1:5" x14ac:dyDescent="0.25">
      <c r="A18" s="11"/>
      <c r="B18" s="12"/>
      <c r="C18" s="19" t="s">
        <v>468</v>
      </c>
      <c r="D18" s="13"/>
      <c r="E18" s="14"/>
    </row>
    <row r="19" spans="1:5" x14ac:dyDescent="0.25">
      <c r="A19" s="3"/>
      <c r="B19" s="4"/>
      <c r="C19" s="20"/>
      <c r="D19" s="18"/>
      <c r="E19" s="5"/>
    </row>
    <row r="20" spans="1:5" ht="31.5" x14ac:dyDescent="0.25">
      <c r="A20" s="6" t="s">
        <v>2</v>
      </c>
      <c r="B20" s="7" t="s">
        <v>3</v>
      </c>
      <c r="C20" s="30" t="s">
        <v>514</v>
      </c>
      <c r="D20" s="39"/>
      <c r="E20" s="5"/>
    </row>
    <row r="21" spans="1:5" ht="21" x14ac:dyDescent="0.25">
      <c r="A21" s="6" t="s">
        <v>2</v>
      </c>
      <c r="B21" s="7" t="s">
        <v>3</v>
      </c>
      <c r="C21" s="30" t="s">
        <v>515</v>
      </c>
      <c r="D21" s="39"/>
      <c r="E21" s="5"/>
    </row>
    <row r="22" spans="1:5" x14ac:dyDescent="0.25">
      <c r="A22" s="6" t="s">
        <v>2</v>
      </c>
      <c r="B22" s="15"/>
      <c r="C22" s="21" t="s">
        <v>452</v>
      </c>
      <c r="D22" s="39"/>
      <c r="E22" s="23"/>
    </row>
    <row r="23" spans="1:5" x14ac:dyDescent="0.25">
      <c r="A23" s="6" t="s">
        <v>2</v>
      </c>
      <c r="B23" s="15"/>
      <c r="C23" s="21" t="s">
        <v>516</v>
      </c>
      <c r="D23" s="39"/>
      <c r="E23" s="23"/>
    </row>
    <row r="24" spans="1:5" x14ac:dyDescent="0.25">
      <c r="A24" s="6" t="s">
        <v>2</v>
      </c>
      <c r="B24" s="15"/>
      <c r="C24" s="21" t="s">
        <v>448</v>
      </c>
      <c r="D24" s="39"/>
      <c r="E24" s="23"/>
    </row>
    <row r="25" spans="1:5" x14ac:dyDescent="0.25">
      <c r="A25" s="6" t="s">
        <v>2</v>
      </c>
      <c r="B25" s="15"/>
      <c r="C25" s="21" t="s">
        <v>487</v>
      </c>
      <c r="D25" s="39"/>
      <c r="E25" s="5"/>
    </row>
    <row r="26" spans="1:5" x14ac:dyDescent="0.25">
      <c r="A26" s="6" t="s">
        <v>2</v>
      </c>
      <c r="B26" s="15"/>
      <c r="C26" s="21" t="s">
        <v>519</v>
      </c>
      <c r="D26" s="39"/>
      <c r="E26" s="5"/>
    </row>
    <row r="27" spans="1:5" x14ac:dyDescent="0.25">
      <c r="A27" s="6" t="s">
        <v>2</v>
      </c>
      <c r="B27" s="15"/>
      <c r="C27" s="21" t="s">
        <v>520</v>
      </c>
      <c r="D27" s="39"/>
      <c r="E27" s="5"/>
    </row>
    <row r="28" spans="1:5" x14ac:dyDescent="0.25">
      <c r="A28" s="6" t="s">
        <v>2</v>
      </c>
      <c r="B28" s="15"/>
      <c r="C28" s="21" t="s">
        <v>521</v>
      </c>
      <c r="D28" s="39"/>
      <c r="E28" s="5"/>
    </row>
    <row r="29" spans="1:5" x14ac:dyDescent="0.25">
      <c r="A29" s="6" t="s">
        <v>2</v>
      </c>
      <c r="B29" s="15"/>
      <c r="C29" s="21" t="s">
        <v>522</v>
      </c>
      <c r="D29" s="39"/>
      <c r="E29" s="5"/>
    </row>
    <row r="30" spans="1:5" x14ac:dyDescent="0.25">
      <c r="A30" s="6" t="s">
        <v>2</v>
      </c>
      <c r="B30" s="7" t="s">
        <v>3</v>
      </c>
      <c r="C30" s="21" t="s">
        <v>453</v>
      </c>
      <c r="D30" s="39"/>
      <c r="E30" s="23"/>
    </row>
    <row r="31" spans="1:5" x14ac:dyDescent="0.25">
      <c r="A31" s="6" t="s">
        <v>2</v>
      </c>
      <c r="B31" s="15"/>
      <c r="C31" s="21" t="s">
        <v>498</v>
      </c>
      <c r="D31" s="39"/>
      <c r="E31" s="5"/>
    </row>
    <row r="32" spans="1:5" x14ac:dyDescent="0.25">
      <c r="A32" s="6" t="s">
        <v>2</v>
      </c>
      <c r="B32" s="7" t="s">
        <v>3</v>
      </c>
      <c r="C32" s="43" t="s">
        <v>446</v>
      </c>
      <c r="D32" s="39"/>
      <c r="E32" s="5"/>
    </row>
    <row r="33" spans="1:5" x14ac:dyDescent="0.25">
      <c r="A33" s="6" t="s">
        <v>2</v>
      </c>
      <c r="B33" s="7" t="s">
        <v>3</v>
      </c>
      <c r="C33" s="43" t="s">
        <v>470</v>
      </c>
      <c r="D33" s="41"/>
      <c r="E33" s="5"/>
    </row>
    <row r="34" spans="1:5" x14ac:dyDescent="0.25">
      <c r="A34" s="6" t="s">
        <v>2</v>
      </c>
      <c r="B34" s="7" t="s">
        <v>3</v>
      </c>
      <c r="C34" s="21" t="s">
        <v>531</v>
      </c>
      <c r="D34" s="39"/>
      <c r="E34" s="5"/>
    </row>
    <row r="35" spans="1:5" x14ac:dyDescent="0.25">
      <c r="A35" s="6" t="s">
        <v>2</v>
      </c>
      <c r="B35" s="7" t="s">
        <v>3</v>
      </c>
      <c r="C35" s="21" t="s">
        <v>447</v>
      </c>
      <c r="D35" s="39"/>
      <c r="E35" s="5"/>
    </row>
    <row r="36" spans="1:5" x14ac:dyDescent="0.25">
      <c r="A36" s="6" t="s">
        <v>2</v>
      </c>
      <c r="B36" s="7" t="s">
        <v>3</v>
      </c>
      <c r="C36" s="21" t="s">
        <v>1161</v>
      </c>
      <c r="D36" s="39"/>
      <c r="E36" s="5"/>
    </row>
    <row r="37" spans="1:5" x14ac:dyDescent="0.25">
      <c r="A37" s="6" t="s">
        <v>2</v>
      </c>
      <c r="B37" s="7" t="s">
        <v>3</v>
      </c>
      <c r="C37" s="21" t="s">
        <v>466</v>
      </c>
      <c r="D37" s="39"/>
      <c r="E37" s="23"/>
    </row>
    <row r="38" spans="1:5" x14ac:dyDescent="0.25">
      <c r="A38" s="6" t="s">
        <v>2</v>
      </c>
      <c r="B38" s="7" t="s">
        <v>3</v>
      </c>
      <c r="C38" s="21" t="s">
        <v>467</v>
      </c>
      <c r="D38" s="39"/>
      <c r="E38" s="23"/>
    </row>
    <row r="39" spans="1:5" x14ac:dyDescent="0.25">
      <c r="A39" s="6" t="s">
        <v>2</v>
      </c>
      <c r="B39" s="7" t="s">
        <v>3</v>
      </c>
      <c r="C39" s="21" t="s">
        <v>491</v>
      </c>
      <c r="D39" s="39"/>
      <c r="E39" s="23"/>
    </row>
    <row r="40" spans="1:5" x14ac:dyDescent="0.25">
      <c r="A40" s="6" t="s">
        <v>2</v>
      </c>
      <c r="B40" s="7" t="s">
        <v>3</v>
      </c>
      <c r="C40" s="21" t="s">
        <v>873</v>
      </c>
      <c r="D40" s="42"/>
      <c r="E40" s="23"/>
    </row>
    <row r="41" spans="1:5" x14ac:dyDescent="0.25">
      <c r="A41" s="6" t="s">
        <v>2</v>
      </c>
      <c r="B41" s="7" t="s">
        <v>3</v>
      </c>
      <c r="C41" s="21" t="s">
        <v>874</v>
      </c>
      <c r="D41" s="42"/>
      <c r="E41" s="23"/>
    </row>
    <row r="42" spans="1:5" x14ac:dyDescent="0.25">
      <c r="A42" s="6" t="s">
        <v>2</v>
      </c>
      <c r="B42" s="7" t="s">
        <v>3</v>
      </c>
      <c r="C42" s="21" t="s">
        <v>585</v>
      </c>
      <c r="D42" s="39"/>
      <c r="E42" s="23"/>
    </row>
    <row r="43" spans="1:5" x14ac:dyDescent="0.25">
      <c r="A43" s="6" t="s">
        <v>2</v>
      </c>
      <c r="B43" s="7" t="s">
        <v>3</v>
      </c>
      <c r="C43" s="21" t="s">
        <v>586</v>
      </c>
      <c r="D43" s="39"/>
      <c r="E43" s="23"/>
    </row>
    <row r="44" spans="1:5" x14ac:dyDescent="0.25">
      <c r="A44" s="6" t="s">
        <v>2</v>
      </c>
      <c r="B44" s="7" t="s">
        <v>3</v>
      </c>
      <c r="C44" s="21" t="s">
        <v>584</v>
      </c>
      <c r="D44" s="39"/>
      <c r="E44" s="23"/>
    </row>
    <row r="45" spans="1:5" x14ac:dyDescent="0.25">
      <c r="A45" s="6" t="s">
        <v>2</v>
      </c>
      <c r="B45" s="7" t="s">
        <v>3</v>
      </c>
      <c r="C45" s="21" t="s">
        <v>471</v>
      </c>
      <c r="D45" s="39"/>
      <c r="E45" s="23"/>
    </row>
    <row r="46" spans="1:5" x14ac:dyDescent="0.25">
      <c r="A46" s="6" t="s">
        <v>2</v>
      </c>
      <c r="B46" s="7" t="s">
        <v>3</v>
      </c>
      <c r="C46" s="21" t="s">
        <v>504</v>
      </c>
      <c r="D46" s="39"/>
      <c r="E46" s="23"/>
    </row>
    <row r="47" spans="1:5" x14ac:dyDescent="0.25">
      <c r="A47" s="6" t="s">
        <v>2</v>
      </c>
      <c r="B47" s="7" t="s">
        <v>3</v>
      </c>
      <c r="C47" s="21" t="s">
        <v>469</v>
      </c>
      <c r="D47" s="39"/>
      <c r="E47" s="23"/>
    </row>
    <row r="48" spans="1:5" x14ac:dyDescent="0.25">
      <c r="A48" s="3"/>
      <c r="B48" s="4"/>
      <c r="C48" s="20"/>
      <c r="D48" s="18"/>
      <c r="E48" s="5"/>
    </row>
    <row r="49" spans="1:5" x14ac:dyDescent="0.25">
      <c r="A49" s="11"/>
      <c r="B49" s="12"/>
      <c r="C49" s="19" t="s">
        <v>505</v>
      </c>
      <c r="D49" s="13"/>
      <c r="E49" s="14"/>
    </row>
    <row r="50" spans="1:5" x14ac:dyDescent="0.25">
      <c r="A50" s="3"/>
      <c r="B50" s="4"/>
      <c r="C50" s="20"/>
      <c r="D50" s="18"/>
      <c r="E50" s="5"/>
    </row>
    <row r="51" spans="1:5" x14ac:dyDescent="0.25">
      <c r="A51" s="6" t="s">
        <v>2</v>
      </c>
      <c r="B51" s="15"/>
      <c r="C51" s="21" t="s">
        <v>558</v>
      </c>
      <c r="D51" s="39"/>
      <c r="E51" s="23"/>
    </row>
    <row r="52" spans="1:5" x14ac:dyDescent="0.25">
      <c r="A52" s="6" t="s">
        <v>2</v>
      </c>
      <c r="B52" s="15"/>
      <c r="C52" s="21" t="s">
        <v>559</v>
      </c>
      <c r="D52" s="39"/>
      <c r="E52" s="23"/>
    </row>
    <row r="53" spans="1:5" x14ac:dyDescent="0.25">
      <c r="A53" s="6" t="s">
        <v>2</v>
      </c>
      <c r="B53" s="15"/>
      <c r="C53" s="21" t="s">
        <v>513</v>
      </c>
      <c r="D53" s="41"/>
      <c r="E53" s="23"/>
    </row>
    <row r="54" spans="1:5" x14ac:dyDescent="0.25">
      <c r="A54" s="6" t="s">
        <v>2</v>
      </c>
      <c r="B54" s="15"/>
      <c r="C54" s="21" t="s">
        <v>560</v>
      </c>
      <c r="D54" s="39"/>
      <c r="E54" s="23"/>
    </row>
    <row r="55" spans="1:5" x14ac:dyDescent="0.25">
      <c r="A55" s="6" t="s">
        <v>2</v>
      </c>
      <c r="B55" s="15"/>
      <c r="C55" s="21" t="s">
        <v>561</v>
      </c>
      <c r="D55" s="41"/>
      <c r="E55" s="23"/>
    </row>
    <row r="56" spans="1:5" x14ac:dyDescent="0.25">
      <c r="A56" s="6" t="s">
        <v>2</v>
      </c>
      <c r="B56" s="15"/>
      <c r="C56" s="21" t="s">
        <v>562</v>
      </c>
      <c r="D56" s="39"/>
      <c r="E56" s="23"/>
    </row>
    <row r="57" spans="1:5" x14ac:dyDescent="0.25">
      <c r="A57" s="6" t="s">
        <v>2</v>
      </c>
      <c r="B57" s="15"/>
      <c r="C57" s="21" t="s">
        <v>563</v>
      </c>
      <c r="D57" s="39"/>
      <c r="E57" s="23"/>
    </row>
    <row r="58" spans="1:5" x14ac:dyDescent="0.25">
      <c r="A58" s="6" t="s">
        <v>2</v>
      </c>
      <c r="B58" s="15"/>
      <c r="C58" s="21" t="s">
        <v>564</v>
      </c>
      <c r="D58" s="39"/>
      <c r="E58" s="23"/>
    </row>
    <row r="59" spans="1:5" x14ac:dyDescent="0.25">
      <c r="A59" s="6" t="s">
        <v>2</v>
      </c>
      <c r="B59" s="15"/>
      <c r="C59" s="21" t="s">
        <v>565</v>
      </c>
      <c r="D59" s="39"/>
      <c r="E59" s="23"/>
    </row>
    <row r="60" spans="1:5" x14ac:dyDescent="0.25">
      <c r="A60" s="6" t="s">
        <v>2</v>
      </c>
      <c r="B60" s="15"/>
      <c r="C60" s="21" t="s">
        <v>566</v>
      </c>
      <c r="D60" s="39"/>
      <c r="E60" s="23"/>
    </row>
    <row r="61" spans="1:5" x14ac:dyDescent="0.25">
      <c r="A61" s="3"/>
      <c r="B61" s="4"/>
      <c r="C61" s="20"/>
      <c r="D61" s="18"/>
      <c r="E61" s="5"/>
    </row>
    <row r="62" spans="1:5" x14ac:dyDescent="0.25">
      <c r="A62" s="17"/>
      <c r="B62" s="17"/>
      <c r="C62" s="24"/>
      <c r="D62" s="16"/>
      <c r="E62" s="16"/>
    </row>
    <row r="63" spans="1:5" hidden="1" x14ac:dyDescent="0.25"/>
    <row r="64" spans="1:5" hidden="1" x14ac:dyDescent="0.25"/>
    <row r="65" hidden="1" x14ac:dyDescent="0.25"/>
    <row r="66" hidden="1" x14ac:dyDescent="0.25"/>
    <row r="67" hidden="1" x14ac:dyDescent="0.25"/>
    <row r="68" hidden="1" x14ac:dyDescent="0.25"/>
  </sheetData>
  <sheetProtection algorithmName="SHA-512" hashValue="GIuRBvsOF9SSggzmwQSmt17CRH++b9gVCnM3sOdHIbrTyd03cgcjQbyBElUAfw7hCdBz9o0Y5OeDcJyBk1aO+A==" saltValue="ldRR/CD69nPMEGKQayeRDQ==" spinCount="100000" sheet="1" objects="1" scenarios="1" sort="0" autoFilter="0"/>
  <conditionalFormatting sqref="D1">
    <cfRule type="cellIs" dxfId="35" priority="58" operator="equal">
      <formula>"FORM COMPLETED"</formula>
    </cfRule>
    <cfRule type="containsText" dxfId="34" priority="59" operator="containsText" text="COMPLETE">
      <formula>NOT(ISERROR(SEARCH("COMPLETE",D1)))</formula>
    </cfRule>
  </conditionalFormatting>
  <dataValidations count="31">
    <dataValidation type="list" allowBlank="1" showErrorMessage="1" sqref="D32">
      <formula1>INDIRECT(ref_VehicleActivity_ActiveList)</formula1>
    </dataValidation>
    <dataValidation type="whole" allowBlank="1" showErrorMessage="1" sqref="D3">
      <formula1>0</formula1>
      <formula2>99999999</formula2>
    </dataValidation>
    <dataValidation type="textLength" allowBlank="1" showErrorMessage="1" error="_x000a_" sqref="D6">
      <formula1>0</formula1>
      <formula2>250</formula2>
    </dataValidation>
    <dataValidation type="textLength" operator="equal" allowBlank="1" showInputMessage="1" showErrorMessage="1" error="Remove any spaces from Eircode._x000a_Text must be between 0 and 7 characters in length." sqref="D15">
      <formula1>7</formula1>
    </dataValidation>
    <dataValidation type="textLength" operator="equal" allowBlank="1" showErrorMessage="1" sqref="D7">
      <formula1>20</formula1>
    </dataValidation>
    <dataValidation type="list" operator="lessThanOrEqual" allowBlank="1" showInputMessage="1" showErrorMessage="1" sqref="D14">
      <formula1>lis_County</formula1>
    </dataValidation>
    <dataValidation type="whole" operator="greaterThanOrEqual" allowBlank="1" showInputMessage="1" showErrorMessage="1" sqref="D34">
      <formula1>0</formula1>
    </dataValidation>
    <dataValidation type="list" allowBlank="1" showInputMessage="1" showErrorMessage="1" sqref="D35">
      <formula1>lis_Currency</formula1>
    </dataValidation>
    <dataValidation type="list" showErrorMessage="1" sqref="D46">
      <formula1>lis_AccountancyStandard</formula1>
    </dataValidation>
    <dataValidation type="list" allowBlank="1" showInputMessage="1" showErrorMessage="1" sqref="D4">
      <formula1>lis_PurposeOfFiling</formula1>
    </dataValidation>
    <dataValidation type="list" showErrorMessage="1" sqref="D5">
      <formula1>lis_LegalEntityType</formula1>
    </dataValidation>
    <dataValidation type="list" showErrorMessage="1" sqref="D9">
      <formula1>lis_CompanyType</formula1>
    </dataValidation>
    <dataValidation type="list" allowBlank="1" showErrorMessage="1" sqref="D23">
      <formula1>lis_PrivateOrPublicSecuritisation</formula1>
    </dataValidation>
    <dataValidation type="list" allowBlank="1" showErrorMessage="1" sqref="D24">
      <formula1>lis_NatureOfSecuritisation</formula1>
    </dataValidation>
    <dataValidation type="list" allowBlank="1" showErrorMessage="1" sqref="D28">
      <formula1>lis_UnderlyingExposureClassification</formula1>
    </dataValidation>
    <dataValidation type="list" allowBlank="1" showErrorMessage="1" sqref="D39">
      <formula1>lis_OriginatorOfAssets</formula1>
    </dataValidation>
    <dataValidation type="list" showErrorMessage="1" sqref="D43">
      <formula1>lis_YesNo</formula1>
    </dataValidation>
    <dataValidation type="list" allowBlank="1" showInputMessage="1" showErrorMessage="1" sqref="D20:D22 D26 D30:D31 D37:D38 D42 D51:D52 D54 D45 D47 D56 D58:D60 D36">
      <formula1>lis_YesNo</formula1>
    </dataValidation>
    <dataValidation type="list" allowBlank="1" showErrorMessage="1" sqref="D44">
      <formula1>lis_LocationOfExchangeWhereListed</formula1>
    </dataValidation>
    <dataValidation type="list" errorStyle="warning" showErrorMessage="1" errorTitle="Debt Security Primary Location" error="Please Select" sqref="D50">
      <formula1>$N$2:$N$8</formula1>
    </dataValidation>
    <dataValidation type="list" operator="lessThanOrEqual" allowBlank="1" showErrorMessage="1" sqref="D27">
      <formula1>lis_NameOfSecuritisationRepository</formula1>
    </dataValidation>
    <dataValidation type="textLength" allowBlank="1" showInputMessage="1" showErrorMessage="1" sqref="D53 D25 D55">
      <formula1>1</formula1>
      <formula2>250</formula2>
    </dataValidation>
    <dataValidation type="whole" allowBlank="1" showErrorMessage="1" sqref="D41">
      <formula1>0</formula1>
      <formula2>1000000</formula2>
    </dataValidation>
    <dataValidation operator="equal" allowBlank="1" showInputMessage="1" showErrorMessage="1" sqref="D16"/>
    <dataValidation type="list" allowBlank="1" showInputMessage="1" showErrorMessage="1" sqref="D57">
      <formula1>lis_Q5.1</formula1>
    </dataValidation>
    <dataValidation type="whole" allowBlank="1" showInputMessage="1" showErrorMessage="1" sqref="D40">
      <formula1>0</formula1>
      <formula2>1000000</formula2>
    </dataValidation>
    <dataValidation type="whole" operator="greaterThan" allowBlank="1" showInputMessage="1" showErrorMessage="1" sqref="D29">
      <formula1>0</formula1>
    </dataValidation>
    <dataValidation type="textLength" allowBlank="1" showInputMessage="1" showErrorMessage="1" sqref="D10">
      <formula1>1</formula1>
      <formula2>139</formula2>
    </dataValidation>
    <dataValidation type="textLength" allowBlank="1" showInputMessage="1" showErrorMessage="1" sqref="D11 D12 D13">
      <formula1>1</formula1>
      <formula2>100</formula2>
    </dataValidation>
    <dataValidation type="textLength" allowBlank="1" showInputMessage="1" showErrorMessage="1" sqref="D33">
      <formula1>0</formula1>
      <formula2>250</formula2>
    </dataValidation>
    <dataValidation type="whole" allowBlank="1" showErrorMessage="1" sqref="D8">
      <formula1>0</formula1>
      <formula2>999999999</formula2>
    </dataValidation>
  </dataValidations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ErrorMessage="1" errorTitle="Debt Security Primary Location" error="Please Select">
          <x14:formula1>
            <xm:f>Lists!$R$2:$R$12</xm:f>
          </x14:formula1>
          <xm:sqref>D48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J68"/>
  <sheetViews>
    <sheetView zoomScaleNormal="100" workbookViewId="0"/>
  </sheetViews>
  <sheetFormatPr defaultColWidth="8.7109375" defaultRowHeight="15" x14ac:dyDescent="0.25"/>
  <cols>
    <col min="1" max="1" width="35.85546875" style="87" bestFit="1" customWidth="1"/>
    <col min="2" max="2" width="10.85546875" style="87" bestFit="1" customWidth="1"/>
    <col min="3" max="3" width="21.5703125" style="87" bestFit="1" customWidth="1"/>
    <col min="4" max="4" width="21.7109375" style="87" bestFit="1" customWidth="1"/>
    <col min="5" max="5" width="21.5703125" style="87" bestFit="1" customWidth="1"/>
    <col min="6" max="6" width="30.7109375" style="87" bestFit="1" customWidth="1"/>
    <col min="7" max="7" width="26.7109375" style="87" customWidth="1"/>
    <col min="8" max="8" width="13.85546875" style="87" customWidth="1"/>
    <col min="9" max="9" width="30.85546875" style="87" bestFit="1" customWidth="1"/>
    <col min="10" max="10" width="17.7109375" style="87" hidden="1" customWidth="1"/>
    <col min="11" max="16384" width="8.7109375" style="87"/>
  </cols>
  <sheetData>
    <row r="1" spans="1:10" ht="15.75" thickBot="1" x14ac:dyDescent="0.3">
      <c r="A1" s="86" t="s">
        <v>757</v>
      </c>
      <c r="B1" s="87" t="s">
        <v>575</v>
      </c>
      <c r="C1" s="86" t="s">
        <v>576</v>
      </c>
      <c r="D1" s="88" t="s">
        <v>577</v>
      </c>
      <c r="E1" s="87" t="s">
        <v>578</v>
      </c>
      <c r="F1" s="148" t="s">
        <v>557</v>
      </c>
      <c r="G1" s="86" t="s">
        <v>556</v>
      </c>
      <c r="H1" s="89" t="s">
        <v>0</v>
      </c>
      <c r="I1" s="87" t="s">
        <v>1</v>
      </c>
      <c r="J1" s="146" t="s">
        <v>1393</v>
      </c>
    </row>
    <row r="2" spans="1:10" x14ac:dyDescent="0.25">
      <c r="A2" s="147"/>
      <c r="B2" s="90"/>
      <c r="C2" s="91"/>
      <c r="D2" s="90"/>
      <c r="E2" s="90"/>
      <c r="F2" s="90"/>
      <c r="G2" s="90"/>
      <c r="H2" s="92"/>
      <c r="I2" s="92"/>
      <c r="J2" s="139" t="str">
        <f>IF(ISNA(VLOOKUP(tab_InstitutionConnections[[#This Row],[Sector]],Lists!$X$2:$Y$14,2,FALSE)),"",VLOOKUP(tab_InstitutionConnections[[#This Row],[Sector]],Lists!$X$2:$Y$14,2,FALSE))</f>
        <v/>
      </c>
    </row>
    <row r="3" spans="1:10" x14ac:dyDescent="0.25">
      <c r="A3" s="93"/>
      <c r="B3" s="90"/>
      <c r="C3" s="94"/>
      <c r="D3" s="90"/>
      <c r="E3" s="90"/>
      <c r="F3" s="90"/>
      <c r="G3" s="95"/>
      <c r="H3" s="90"/>
      <c r="I3" s="92"/>
      <c r="J3" s="139" t="str">
        <f>IF(ISNA(VLOOKUP(tab_InstitutionConnections[[#This Row],[Sector]],Lists!$X$2:$Y$14,2,FALSE)),"",VLOOKUP(tab_InstitutionConnections[[#This Row],[Sector]],Lists!$X$2:$Y$14,2,FALSE))</f>
        <v/>
      </c>
    </row>
    <row r="4" spans="1:10" x14ac:dyDescent="0.25">
      <c r="A4" s="93"/>
      <c r="B4" s="90"/>
      <c r="C4" s="91"/>
      <c r="D4" s="90"/>
      <c r="E4" s="93"/>
      <c r="F4" s="149"/>
      <c r="G4" s="95"/>
      <c r="H4" s="90"/>
      <c r="I4" s="92"/>
      <c r="J4" s="139" t="str">
        <f>IF(ISNA(VLOOKUP(tab_InstitutionConnections[[#This Row],[Sector]],Lists!$X$2:$Y$14,2,FALSE)),"",VLOOKUP(tab_InstitutionConnections[[#This Row],[Sector]],Lists!$X$2:$Y$14,2,FALSE))</f>
        <v/>
      </c>
    </row>
    <row r="5" spans="1:10" x14ac:dyDescent="0.25">
      <c r="A5" s="96"/>
      <c r="B5" s="90"/>
      <c r="C5" s="91"/>
      <c r="D5" s="90"/>
      <c r="E5" s="93"/>
      <c r="F5" s="90"/>
      <c r="G5" s="144"/>
      <c r="H5" s="90"/>
      <c r="I5" s="92"/>
      <c r="J5" s="139" t="str">
        <f>IF(ISNA(VLOOKUP(tab_InstitutionConnections[[#This Row],[Sector]],Lists!$X$2:$Y$14,2,FALSE)),"",VLOOKUP(tab_InstitutionConnections[[#This Row],[Sector]],Lists!$X$2:$Y$14,2,FALSE))</f>
        <v/>
      </c>
    </row>
    <row r="6" spans="1:10" x14ac:dyDescent="0.25">
      <c r="A6" s="90"/>
      <c r="B6" s="90"/>
      <c r="C6" s="91"/>
      <c r="D6" s="90"/>
      <c r="E6" s="90"/>
      <c r="F6" s="90"/>
      <c r="G6" s="145"/>
      <c r="H6" s="90"/>
      <c r="I6" s="92"/>
      <c r="J6" s="139" t="str">
        <f>IF(ISNA(VLOOKUP(tab_InstitutionConnections[[#This Row],[Sector]],Lists!$X$2:$Y$14,2,FALSE)),"",VLOOKUP(tab_InstitutionConnections[[#This Row],[Sector]],Lists!$X$2:$Y$14,2,FALSE))</f>
        <v/>
      </c>
    </row>
    <row r="7" spans="1:10" x14ac:dyDescent="0.25">
      <c r="A7" s="97"/>
      <c r="B7" s="90"/>
      <c r="C7" s="91"/>
      <c r="D7" s="90"/>
      <c r="E7" s="93"/>
      <c r="F7" s="90"/>
      <c r="G7" s="98"/>
      <c r="H7" s="90"/>
      <c r="I7" s="92"/>
      <c r="J7" s="139" t="str">
        <f>IF(ISNA(VLOOKUP(tab_InstitutionConnections[[#This Row],[Sector]],Lists!$X$2:$Y$14,2,FALSE)),"",VLOOKUP(tab_InstitutionConnections[[#This Row],[Sector]],Lists!$X$2:$Y$14,2,FALSE))</f>
        <v/>
      </c>
    </row>
    <row r="8" spans="1:10" x14ac:dyDescent="0.25">
      <c r="A8" s="90"/>
      <c r="B8" s="90"/>
      <c r="C8" s="99"/>
      <c r="D8" s="90"/>
      <c r="E8" s="90"/>
      <c r="F8" s="90"/>
      <c r="G8" s="100"/>
      <c r="H8" s="90"/>
      <c r="I8" s="92"/>
      <c r="J8" s="139" t="str">
        <f>IF(ISNA(VLOOKUP(tab_InstitutionConnections[[#This Row],[Sector]],Lists!$X$2:$Y$14,2,FALSE)),"",VLOOKUP(tab_InstitutionConnections[[#This Row],[Sector]],Lists!$X$2:$Y$14,2,FALSE))</f>
        <v/>
      </c>
    </row>
    <row r="9" spans="1:10" x14ac:dyDescent="0.25">
      <c r="A9" s="101"/>
      <c r="B9" s="90"/>
      <c r="C9" s="91"/>
      <c r="D9" s="90"/>
      <c r="E9" s="90"/>
      <c r="F9" s="90"/>
      <c r="G9" s="90"/>
      <c r="H9" s="90"/>
      <c r="I9" s="92"/>
      <c r="J9" s="139" t="str">
        <f>IF(ISNA(VLOOKUP(tab_InstitutionConnections[[#This Row],[Sector]],Lists!$X$2:$Y$14,2,FALSE)),"",VLOOKUP(tab_InstitutionConnections[[#This Row],[Sector]],Lists!$X$2:$Y$14,2,FALSE))</f>
        <v/>
      </c>
    </row>
    <row r="10" spans="1:10" x14ac:dyDescent="0.25">
      <c r="A10" s="101"/>
      <c r="B10" s="90"/>
      <c r="C10" s="91"/>
      <c r="D10" s="90"/>
      <c r="E10" s="90"/>
      <c r="F10" s="90"/>
      <c r="G10" s="90"/>
      <c r="H10" s="90"/>
      <c r="I10" s="92"/>
      <c r="J10" s="139" t="str">
        <f>IF(ISNA(VLOOKUP(tab_InstitutionConnections[[#This Row],[Sector]],Lists!$X$2:$Y$14,2,FALSE)),"",VLOOKUP(tab_InstitutionConnections[[#This Row],[Sector]],Lists!$X$2:$Y$14,2,FALSE))</f>
        <v/>
      </c>
    </row>
    <row r="11" spans="1:10" x14ac:dyDescent="0.25">
      <c r="A11" s="90"/>
      <c r="B11" s="90"/>
      <c r="C11" s="91"/>
      <c r="D11" s="90"/>
      <c r="E11" s="93"/>
      <c r="F11" s="90"/>
      <c r="G11" s="90"/>
      <c r="H11" s="90"/>
      <c r="I11" s="92"/>
      <c r="J11" s="139" t="str">
        <f>IF(ISNA(VLOOKUP(tab_InstitutionConnections[[#This Row],[Sector]],Lists!$X$2:$Y$14,2,FALSE)),"",VLOOKUP(tab_InstitutionConnections[[#This Row],[Sector]],Lists!$X$2:$Y$14,2,FALSE))</f>
        <v/>
      </c>
    </row>
    <row r="12" spans="1:10" x14ac:dyDescent="0.25">
      <c r="A12" s="102"/>
      <c r="B12" s="102"/>
      <c r="C12" s="103"/>
      <c r="D12" s="102"/>
      <c r="E12" s="102"/>
      <c r="F12" s="90"/>
      <c r="G12" s="102"/>
      <c r="H12" s="102"/>
      <c r="I12" s="104"/>
      <c r="J12" s="139" t="str">
        <f>IF(ISNA(VLOOKUP(tab_InstitutionConnections[[#This Row],[Sector]],Lists!$X$2:$Y$14,2,FALSE)),"",VLOOKUP(tab_InstitutionConnections[[#This Row],[Sector]],Lists!$X$2:$Y$14,2,FALSE))</f>
        <v/>
      </c>
    </row>
    <row r="13" spans="1:10" x14ac:dyDescent="0.25">
      <c r="A13" s="97"/>
      <c r="B13" s="102"/>
      <c r="C13" s="103"/>
      <c r="D13" s="102"/>
      <c r="E13" s="102"/>
      <c r="F13" s="90"/>
      <c r="G13" s="105"/>
      <c r="H13" s="102"/>
      <c r="I13" s="104"/>
      <c r="J13" s="139" t="str">
        <f>IF(ISNA(VLOOKUP(tab_InstitutionConnections[[#This Row],[Sector]],Lists!$X$2:$Y$14,2,FALSE)),"",VLOOKUP(tab_InstitutionConnections[[#This Row],[Sector]],Lists!$X$2:$Y$14,2,FALSE))</f>
        <v/>
      </c>
    </row>
    <row r="14" spans="1:10" x14ac:dyDescent="0.25">
      <c r="A14" s="97"/>
      <c r="B14" s="102"/>
      <c r="C14" s="103"/>
      <c r="D14" s="102"/>
      <c r="E14" s="102"/>
      <c r="F14" s="90"/>
      <c r="G14" s="105"/>
      <c r="H14" s="102"/>
      <c r="I14" s="104"/>
      <c r="J14" s="139" t="str">
        <f>IF(ISNA(VLOOKUP(tab_InstitutionConnections[[#This Row],[Sector]],Lists!$X$2:$Y$14,2,FALSE)),"",VLOOKUP(tab_InstitutionConnections[[#This Row],[Sector]],Lists!$X$2:$Y$14,2,FALSE))</f>
        <v/>
      </c>
    </row>
    <row r="15" spans="1:10" x14ac:dyDescent="0.25">
      <c r="A15" s="102"/>
      <c r="B15" s="102"/>
      <c r="C15" s="103"/>
      <c r="D15" s="102"/>
      <c r="E15" s="106"/>
      <c r="F15" s="102"/>
      <c r="G15" s="102"/>
      <c r="H15" s="102"/>
      <c r="I15" s="102"/>
      <c r="J15" s="139" t="str">
        <f>IF(ISNA(VLOOKUP(tab_InstitutionConnections[[#This Row],[Sector]],Lists!$X$2:$Y$14,2,FALSE)),"",VLOOKUP(tab_InstitutionConnections[[#This Row],[Sector]],Lists!$X$2:$Y$14,2,FALSE))</f>
        <v/>
      </c>
    </row>
    <row r="16" spans="1:10" x14ac:dyDescent="0.25">
      <c r="A16" s="96"/>
      <c r="B16" s="90"/>
      <c r="C16" s="94"/>
      <c r="D16" s="102"/>
      <c r="E16" s="106"/>
      <c r="F16" s="102"/>
      <c r="G16" s="102"/>
      <c r="H16" s="102"/>
      <c r="I16" s="102"/>
      <c r="J16" s="139" t="str">
        <f>IF(ISNA(VLOOKUP(tab_InstitutionConnections[[#This Row],[Sector]],Lists!$X$2:$Y$14,2,FALSE)),"",VLOOKUP(tab_InstitutionConnections[[#This Row],[Sector]],Lists!$X$2:$Y$14,2,FALSE))</f>
        <v/>
      </c>
    </row>
    <row r="17" spans="1:10" x14ac:dyDescent="0.25">
      <c r="A17" s="102"/>
      <c r="B17" s="102"/>
      <c r="C17" s="103"/>
      <c r="D17" s="102"/>
      <c r="E17" s="106"/>
      <c r="F17" s="102"/>
      <c r="G17" s="102"/>
      <c r="H17" s="102"/>
      <c r="I17" s="102"/>
      <c r="J17" s="139" t="str">
        <f>IF(ISNA(VLOOKUP(tab_InstitutionConnections[[#This Row],[Sector]],Lists!$X$2:$Y$14,2,FALSE)),"",VLOOKUP(tab_InstitutionConnections[[#This Row],[Sector]],Lists!$X$2:$Y$14,2,FALSE))</f>
        <v/>
      </c>
    </row>
    <row r="18" spans="1:10" x14ac:dyDescent="0.25">
      <c r="A18" s="90"/>
      <c r="B18" s="102"/>
      <c r="C18" s="99"/>
      <c r="D18" s="102"/>
      <c r="E18" s="102"/>
      <c r="F18" s="102"/>
      <c r="G18" s="102"/>
      <c r="H18" s="102"/>
      <c r="I18" s="102"/>
      <c r="J18" s="139" t="str">
        <f>IF(ISNA(VLOOKUP(tab_InstitutionConnections[[#This Row],[Sector]],Lists!$X$2:$Y$14,2,FALSE)),"",VLOOKUP(tab_InstitutionConnections[[#This Row],[Sector]],Lists!$X$2:$Y$14,2,FALSE))</f>
        <v/>
      </c>
    </row>
    <row r="19" spans="1:10" x14ac:dyDescent="0.25">
      <c r="A19" s="90"/>
      <c r="B19" s="102"/>
      <c r="C19" s="99"/>
      <c r="D19" s="102"/>
      <c r="E19" s="102"/>
      <c r="F19" s="102"/>
      <c r="G19" s="107"/>
      <c r="H19" s="102"/>
      <c r="I19" s="102"/>
      <c r="J19" s="139" t="str">
        <f>IF(ISNA(VLOOKUP(tab_InstitutionConnections[[#This Row],[Sector]],Lists!$X$2:$Y$14,2,FALSE)),"",VLOOKUP(tab_InstitutionConnections[[#This Row],[Sector]],Lists!$X$2:$Y$14,2,FALSE))</f>
        <v/>
      </c>
    </row>
    <row r="20" spans="1:10" x14ac:dyDescent="0.25">
      <c r="A20" s="90"/>
      <c r="B20" s="102"/>
      <c r="C20" s="99"/>
      <c r="D20" s="102"/>
      <c r="E20" s="102"/>
      <c r="F20" s="102"/>
      <c r="G20" s="102"/>
      <c r="H20" s="102"/>
      <c r="I20" s="102"/>
      <c r="J20" s="139" t="str">
        <f>IF(ISNA(VLOOKUP(tab_InstitutionConnections[[#This Row],[Sector]],Lists!$X$2:$Y$14,2,FALSE)),"",VLOOKUP(tab_InstitutionConnections[[#This Row],[Sector]],Lists!$X$2:$Y$14,2,FALSE))</f>
        <v/>
      </c>
    </row>
    <row r="21" spans="1:10" x14ac:dyDescent="0.25">
      <c r="A21" s="102"/>
      <c r="B21" s="108"/>
      <c r="C21" s="103"/>
      <c r="D21" s="102"/>
      <c r="E21" s="102"/>
      <c r="F21" s="102"/>
      <c r="G21" s="102"/>
      <c r="H21" s="102"/>
      <c r="I21" s="102"/>
      <c r="J21" s="139" t="str">
        <f>IF(ISNA(VLOOKUP(tab_InstitutionConnections[[#This Row],[Sector]],Lists!$X$2:$Y$14,2,FALSE)),"",VLOOKUP(tab_InstitutionConnections[[#This Row],[Sector]],Lists!$X$2:$Y$14,2,FALSE))</f>
        <v/>
      </c>
    </row>
    <row r="22" spans="1:10" x14ac:dyDescent="0.25">
      <c r="A22" s="102"/>
      <c r="B22" s="102"/>
      <c r="C22" s="103"/>
      <c r="D22" s="102"/>
      <c r="E22" s="102"/>
      <c r="F22" s="102"/>
      <c r="G22" s="102"/>
      <c r="H22" s="102"/>
      <c r="I22" s="102"/>
      <c r="J22" s="139" t="str">
        <f>IF(ISNA(VLOOKUP(tab_InstitutionConnections[[#This Row],[Sector]],Lists!$X$2:$Y$14,2,FALSE)),"",VLOOKUP(tab_InstitutionConnections[[#This Row],[Sector]],Lists!$X$2:$Y$14,2,FALSE))</f>
        <v/>
      </c>
    </row>
    <row r="23" spans="1:10" x14ac:dyDescent="0.25">
      <c r="A23" s="102"/>
      <c r="B23" s="102"/>
      <c r="C23" s="103"/>
      <c r="D23" s="102"/>
      <c r="E23" s="102"/>
      <c r="F23" s="102"/>
      <c r="G23" s="102"/>
      <c r="H23" s="102"/>
      <c r="I23" s="102"/>
      <c r="J23" s="139" t="str">
        <f>IF(ISNA(VLOOKUP(tab_InstitutionConnections[[#This Row],[Sector]],Lists!$X$2:$Y$14,2,FALSE)),"",VLOOKUP(tab_InstitutionConnections[[#This Row],[Sector]],Lists!$X$2:$Y$14,2,FALSE))</f>
        <v/>
      </c>
    </row>
    <row r="24" spans="1:10" x14ac:dyDescent="0.25">
      <c r="A24" s="102"/>
      <c r="B24" s="102"/>
      <c r="C24" s="103"/>
      <c r="D24" s="102"/>
      <c r="E24" s="102"/>
      <c r="F24" s="102"/>
      <c r="G24" s="102"/>
      <c r="H24" s="102"/>
      <c r="I24" s="102"/>
      <c r="J24" s="139" t="str">
        <f>IF(ISNA(VLOOKUP(tab_InstitutionConnections[[#This Row],[Sector]],Lists!$X$2:$Y$14,2,FALSE)),"",VLOOKUP(tab_InstitutionConnections[[#This Row],[Sector]],Lists!$X$2:$Y$14,2,FALSE))</f>
        <v/>
      </c>
    </row>
    <row r="25" spans="1:10" x14ac:dyDescent="0.25">
      <c r="A25" s="102"/>
      <c r="B25" s="102"/>
      <c r="C25" s="103"/>
      <c r="D25" s="102"/>
      <c r="E25" s="102"/>
      <c r="F25" s="102"/>
      <c r="G25" s="102"/>
      <c r="H25" s="102"/>
      <c r="I25" s="102"/>
      <c r="J25" s="139" t="str">
        <f>IF(ISNA(VLOOKUP(tab_InstitutionConnections[[#This Row],[Sector]],Lists!$X$2:$Y$14,2,FALSE)),"",VLOOKUP(tab_InstitutionConnections[[#This Row],[Sector]],Lists!$X$2:$Y$14,2,FALSE))</f>
        <v/>
      </c>
    </row>
    <row r="26" spans="1:10" x14ac:dyDescent="0.25">
      <c r="A26" s="102"/>
      <c r="B26" s="102"/>
      <c r="C26" s="103"/>
      <c r="D26" s="102"/>
      <c r="E26" s="102"/>
      <c r="F26" s="102"/>
      <c r="G26" s="102"/>
      <c r="H26" s="102"/>
      <c r="I26" s="102"/>
      <c r="J26" s="139" t="str">
        <f>IF(ISNA(VLOOKUP(tab_InstitutionConnections[[#This Row],[Sector]],Lists!$X$2:$Y$14,2,FALSE)),"",VLOOKUP(tab_InstitutionConnections[[#This Row],[Sector]],Lists!$X$2:$Y$14,2,FALSE))</f>
        <v/>
      </c>
    </row>
    <row r="27" spans="1:10" x14ac:dyDescent="0.25">
      <c r="A27" s="102"/>
      <c r="B27" s="102"/>
      <c r="C27" s="103"/>
      <c r="D27" s="102"/>
      <c r="E27" s="102"/>
      <c r="F27" s="102"/>
      <c r="G27" s="102"/>
      <c r="H27" s="102"/>
      <c r="I27" s="102"/>
      <c r="J27" s="139" t="str">
        <f>IF(ISNA(VLOOKUP(tab_InstitutionConnections[[#This Row],[Sector]],Lists!$X$2:$Y$14,2,FALSE)),"",VLOOKUP(tab_InstitutionConnections[[#This Row],[Sector]],Lists!$X$2:$Y$14,2,FALSE))</f>
        <v/>
      </c>
    </row>
    <row r="28" spans="1:10" x14ac:dyDescent="0.25">
      <c r="A28" s="102"/>
      <c r="B28" s="102"/>
      <c r="C28" s="103"/>
      <c r="D28" s="102"/>
      <c r="E28" s="102"/>
      <c r="F28" s="102"/>
      <c r="G28" s="102"/>
      <c r="H28" s="102"/>
      <c r="I28" s="102"/>
      <c r="J28" s="139" t="str">
        <f>IF(ISNA(VLOOKUP(tab_InstitutionConnections[[#This Row],[Sector]],Lists!$X$2:$Y$14,2,FALSE)),"",VLOOKUP(tab_InstitutionConnections[[#This Row],[Sector]],Lists!$X$2:$Y$14,2,FALSE))</f>
        <v/>
      </c>
    </row>
    <row r="29" spans="1:10" x14ac:dyDescent="0.25">
      <c r="A29" s="102"/>
      <c r="B29" s="102"/>
      <c r="C29" s="103"/>
      <c r="D29" s="102"/>
      <c r="E29" s="102"/>
      <c r="F29" s="102"/>
      <c r="G29" s="102"/>
      <c r="H29" s="102"/>
      <c r="I29" s="102"/>
      <c r="J29" s="139" t="str">
        <f>IF(ISNA(VLOOKUP(tab_InstitutionConnections[[#This Row],[Sector]],Lists!$X$2:$Y$14,2,FALSE)),"",VLOOKUP(tab_InstitutionConnections[[#This Row],[Sector]],Lists!$X$2:$Y$14,2,FALSE))</f>
        <v/>
      </c>
    </row>
    <row r="30" spans="1:10" x14ac:dyDescent="0.25">
      <c r="A30" s="102"/>
      <c r="B30" s="102"/>
      <c r="C30" s="103"/>
      <c r="D30" s="102"/>
      <c r="E30" s="102"/>
      <c r="F30" s="102"/>
      <c r="G30" s="102"/>
      <c r="H30" s="102"/>
      <c r="I30" s="102"/>
      <c r="J30" s="139" t="str">
        <f>IF(ISNA(VLOOKUP(tab_InstitutionConnections[[#This Row],[Sector]],Lists!$X$2:$Y$14,2,FALSE)),"",VLOOKUP(tab_InstitutionConnections[[#This Row],[Sector]],Lists!$X$2:$Y$14,2,FALSE))</f>
        <v/>
      </c>
    </row>
    <row r="31" spans="1:10" x14ac:dyDescent="0.25">
      <c r="A31" s="102"/>
      <c r="B31" s="102"/>
      <c r="C31" s="103"/>
      <c r="D31" s="102"/>
      <c r="E31" s="102"/>
      <c r="F31" s="102"/>
      <c r="G31" s="102"/>
      <c r="H31" s="102"/>
      <c r="I31" s="102"/>
      <c r="J31" s="139" t="str">
        <f>IF(ISNA(VLOOKUP(tab_InstitutionConnections[[#This Row],[Sector]],Lists!$X$2:$Y$14,2,FALSE)),"",VLOOKUP(tab_InstitutionConnections[[#This Row],[Sector]],Lists!$X$2:$Y$14,2,FALSE))</f>
        <v/>
      </c>
    </row>
    <row r="32" spans="1:10" x14ac:dyDescent="0.25">
      <c r="A32" s="102"/>
      <c r="B32" s="102"/>
      <c r="C32" s="103"/>
      <c r="D32" s="102"/>
      <c r="E32" s="102"/>
      <c r="F32" s="102"/>
      <c r="G32" s="102"/>
      <c r="H32" s="102"/>
      <c r="I32" s="102"/>
      <c r="J32" s="140" t="str">
        <f>IF(ISNA(VLOOKUP(tab_InstitutionConnections[[#This Row],[Sector]],Lists!$X$2:$Y$14,2,FALSE)),"",VLOOKUP(tab_InstitutionConnections[[#This Row],[Sector]],Lists!$X$2:$Y$14,2,FALSE))</f>
        <v/>
      </c>
    </row>
    <row r="33" spans="1:10" x14ac:dyDescent="0.25">
      <c r="A33" s="102"/>
      <c r="B33" s="102"/>
      <c r="C33" s="103"/>
      <c r="D33" s="102"/>
      <c r="E33" s="102"/>
      <c r="F33" s="102"/>
      <c r="G33" s="102"/>
      <c r="H33" s="102"/>
      <c r="I33" s="102"/>
      <c r="J33" s="140" t="str">
        <f>IF(ISNA(VLOOKUP(tab_InstitutionConnections[[#This Row],[Sector]],Lists!$X$2:$Y$14,2,FALSE)),"",VLOOKUP(tab_InstitutionConnections[[#This Row],[Sector]],Lists!$X$2:$Y$14,2,FALSE))</f>
        <v/>
      </c>
    </row>
    <row r="34" spans="1:10" x14ac:dyDescent="0.25">
      <c r="A34" s="102"/>
      <c r="B34" s="102"/>
      <c r="C34" s="103"/>
      <c r="D34" s="109"/>
      <c r="E34" s="102"/>
      <c r="F34" s="102"/>
      <c r="G34" s="102"/>
      <c r="H34" s="102"/>
      <c r="I34" s="102"/>
      <c r="J34" s="140" t="str">
        <f>IF(ISNA(VLOOKUP(tab_InstitutionConnections[[#This Row],[Sector]],Lists!$X$2:$Y$14,2,FALSE)),"",VLOOKUP(tab_InstitutionConnections[[#This Row],[Sector]],Lists!$X$2:$Y$14,2,FALSE))</f>
        <v/>
      </c>
    </row>
    <row r="35" spans="1:10" x14ac:dyDescent="0.25">
      <c r="A35" s="102"/>
      <c r="B35" s="102"/>
      <c r="C35" s="103"/>
      <c r="D35" s="102"/>
      <c r="E35" s="102"/>
      <c r="F35" s="102"/>
      <c r="G35" s="102"/>
      <c r="H35" s="102"/>
      <c r="I35" s="102"/>
      <c r="J35" s="140" t="str">
        <f>IF(ISNA(VLOOKUP(tab_InstitutionConnections[[#This Row],[Sector]],Lists!$X$2:$Y$14,2,FALSE)),"",VLOOKUP(tab_InstitutionConnections[[#This Row],[Sector]],Lists!$X$2:$Y$14,2,FALSE))</f>
        <v/>
      </c>
    </row>
    <row r="36" spans="1:10" x14ac:dyDescent="0.25">
      <c r="A36" s="102"/>
      <c r="B36" s="102"/>
      <c r="C36" s="103"/>
      <c r="D36" s="102"/>
      <c r="E36" s="102"/>
      <c r="F36" s="102"/>
      <c r="G36" s="102"/>
      <c r="H36" s="102"/>
      <c r="I36" s="102"/>
      <c r="J36" s="140" t="str">
        <f>IF(ISNA(VLOOKUP(tab_InstitutionConnections[[#This Row],[Sector]],Lists!$X$2:$Y$14,2,FALSE)),"",VLOOKUP(tab_InstitutionConnections[[#This Row],[Sector]],Lists!$X$2:$Y$14,2,FALSE))</f>
        <v/>
      </c>
    </row>
    <row r="37" spans="1:10" x14ac:dyDescent="0.25">
      <c r="A37" s="102"/>
      <c r="B37" s="102"/>
      <c r="C37" s="103"/>
      <c r="D37" s="102"/>
      <c r="E37" s="102"/>
      <c r="F37" s="102"/>
      <c r="G37" s="102"/>
      <c r="H37" s="102"/>
      <c r="I37" s="102"/>
      <c r="J37" s="140" t="str">
        <f>IF(ISNA(VLOOKUP(tab_InstitutionConnections[[#This Row],[Sector]],Lists!$X$2:$Y$14,2,FALSE)),"",VLOOKUP(tab_InstitutionConnections[[#This Row],[Sector]],Lists!$X$2:$Y$14,2,FALSE))</f>
        <v/>
      </c>
    </row>
    <row r="38" spans="1:10" x14ac:dyDescent="0.25">
      <c r="A38" s="102"/>
      <c r="B38" s="102"/>
      <c r="C38" s="103"/>
      <c r="D38" s="102"/>
      <c r="E38" s="102"/>
      <c r="F38" s="102"/>
      <c r="G38" s="102"/>
      <c r="H38" s="102"/>
      <c r="I38" s="102"/>
      <c r="J38" s="140" t="str">
        <f>IF(ISNA(VLOOKUP(tab_InstitutionConnections[[#This Row],[Sector]],Lists!$X$2:$Y$14,2,FALSE)),"",VLOOKUP(tab_InstitutionConnections[[#This Row],[Sector]],Lists!$X$2:$Y$14,2,FALSE))</f>
        <v/>
      </c>
    </row>
    <row r="39" spans="1:10" x14ac:dyDescent="0.25">
      <c r="A39" s="102"/>
      <c r="B39" s="102"/>
      <c r="C39" s="103"/>
      <c r="D39" s="102"/>
      <c r="E39" s="102"/>
      <c r="F39" s="102"/>
      <c r="G39" s="102"/>
      <c r="H39" s="102"/>
      <c r="I39" s="102"/>
      <c r="J39" s="140" t="str">
        <f>IF(ISNA(VLOOKUP(tab_InstitutionConnections[[#This Row],[Sector]],Lists!$X$2:$Y$14,2,FALSE)),"",VLOOKUP(tab_InstitutionConnections[[#This Row],[Sector]],Lists!$X$2:$Y$14,2,FALSE))</f>
        <v/>
      </c>
    </row>
    <row r="40" spans="1:10" x14ac:dyDescent="0.25">
      <c r="A40" s="102"/>
      <c r="B40" s="102"/>
      <c r="C40" s="103"/>
      <c r="D40" s="102"/>
      <c r="E40" s="102"/>
      <c r="F40" s="102"/>
      <c r="G40" s="102"/>
      <c r="H40" s="102"/>
      <c r="I40" s="102"/>
      <c r="J40" s="140" t="str">
        <f>IF(ISNA(VLOOKUP(tab_InstitutionConnections[[#This Row],[Sector]],Lists!$X$2:$Y$14,2,FALSE)),"",VLOOKUP(tab_InstitutionConnections[[#This Row],[Sector]],Lists!$X$2:$Y$14,2,FALSE))</f>
        <v/>
      </c>
    </row>
    <row r="41" spans="1:10" x14ac:dyDescent="0.25">
      <c r="A41" s="102"/>
      <c r="B41" s="102"/>
      <c r="C41" s="103"/>
      <c r="D41" s="102"/>
      <c r="E41" s="102"/>
      <c r="F41" s="102"/>
      <c r="G41" s="102"/>
      <c r="H41" s="102"/>
      <c r="I41" s="102"/>
      <c r="J41" s="140" t="str">
        <f>IF(ISNA(VLOOKUP(tab_InstitutionConnections[[#This Row],[Sector]],Lists!$X$2:$Y$14,2,FALSE)),"",VLOOKUP(tab_InstitutionConnections[[#This Row],[Sector]],Lists!$X$2:$Y$14,2,FALSE))</f>
        <v/>
      </c>
    </row>
    <row r="42" spans="1:10" x14ac:dyDescent="0.25">
      <c r="A42" s="102"/>
      <c r="B42" s="102"/>
      <c r="C42" s="103"/>
      <c r="D42" s="102"/>
      <c r="E42" s="102"/>
      <c r="F42" s="102"/>
      <c r="G42" s="102"/>
      <c r="H42" s="102"/>
      <c r="I42" s="102"/>
      <c r="J42" s="140" t="str">
        <f>IF(ISNA(VLOOKUP(tab_InstitutionConnections[[#This Row],[Sector]],Lists!$X$2:$Y$14,2,FALSE)),"",VLOOKUP(tab_InstitutionConnections[[#This Row],[Sector]],Lists!$X$2:$Y$14,2,FALSE))</f>
        <v/>
      </c>
    </row>
    <row r="43" spans="1:10" x14ac:dyDescent="0.25">
      <c r="A43" s="102"/>
      <c r="B43" s="102"/>
      <c r="C43" s="103"/>
      <c r="D43" s="102"/>
      <c r="E43" s="102"/>
      <c r="F43" s="102"/>
      <c r="G43" s="102"/>
      <c r="H43" s="102"/>
      <c r="I43" s="102"/>
      <c r="J43" s="140" t="str">
        <f>IF(ISNA(VLOOKUP(tab_InstitutionConnections[[#This Row],[Sector]],Lists!$X$2:$Y$14,2,FALSE)),"",VLOOKUP(tab_InstitutionConnections[[#This Row],[Sector]],Lists!$X$2:$Y$14,2,FALSE))</f>
        <v/>
      </c>
    </row>
    <row r="44" spans="1:10" x14ac:dyDescent="0.25">
      <c r="A44" s="102"/>
      <c r="B44" s="102"/>
      <c r="C44" s="103"/>
      <c r="D44" s="102"/>
      <c r="E44" s="102"/>
      <c r="F44" s="102"/>
      <c r="G44" s="102"/>
      <c r="H44" s="102"/>
      <c r="I44" s="102"/>
      <c r="J44" s="140" t="str">
        <f>IF(ISNA(VLOOKUP(tab_InstitutionConnections[[#This Row],[Sector]],Lists!$X$2:$Y$14,2,FALSE)),"",VLOOKUP(tab_InstitutionConnections[[#This Row],[Sector]],Lists!$X$2:$Y$14,2,FALSE))</f>
        <v/>
      </c>
    </row>
    <row r="45" spans="1:10" x14ac:dyDescent="0.25">
      <c r="A45" s="102"/>
      <c r="B45" s="102"/>
      <c r="C45" s="103"/>
      <c r="D45" s="102"/>
      <c r="E45" s="102"/>
      <c r="F45" s="102"/>
      <c r="G45" s="102"/>
      <c r="H45" s="102"/>
      <c r="I45" s="102"/>
      <c r="J45" s="140" t="str">
        <f>IF(ISNA(VLOOKUP(tab_InstitutionConnections[[#This Row],[Sector]],Lists!$X$2:$Y$14,2,FALSE)),"",VLOOKUP(tab_InstitutionConnections[[#This Row],[Sector]],Lists!$X$2:$Y$14,2,FALSE))</f>
        <v/>
      </c>
    </row>
    <row r="46" spans="1:10" x14ac:dyDescent="0.25">
      <c r="A46" s="102"/>
      <c r="B46" s="102"/>
      <c r="C46" s="103"/>
      <c r="D46" s="102"/>
      <c r="E46" s="102"/>
      <c r="F46" s="102"/>
      <c r="G46" s="102"/>
      <c r="H46" s="102"/>
      <c r="I46" s="102"/>
      <c r="J46" s="140" t="str">
        <f>IF(ISNA(VLOOKUP(tab_InstitutionConnections[[#This Row],[Sector]],Lists!$X$2:$Y$14,2,FALSE)),"",VLOOKUP(tab_InstitutionConnections[[#This Row],[Sector]],Lists!$X$2:$Y$14,2,FALSE))</f>
        <v/>
      </c>
    </row>
    <row r="47" spans="1:10" x14ac:dyDescent="0.25">
      <c r="A47" s="102"/>
      <c r="B47" s="102"/>
      <c r="C47" s="103"/>
      <c r="D47" s="102"/>
      <c r="E47" s="102"/>
      <c r="F47" s="102"/>
      <c r="G47" s="102"/>
      <c r="H47" s="102"/>
      <c r="I47" s="102"/>
      <c r="J47" s="140" t="str">
        <f>IF(ISNA(VLOOKUP(tab_InstitutionConnections[[#This Row],[Sector]],Lists!$X$2:$Y$14,2,FALSE)),"",VLOOKUP(tab_InstitutionConnections[[#This Row],[Sector]],Lists!$X$2:$Y$14,2,FALSE))</f>
        <v/>
      </c>
    </row>
    <row r="48" spans="1:10" x14ac:dyDescent="0.25">
      <c r="A48" s="102"/>
      <c r="B48" s="102"/>
      <c r="C48" s="103"/>
      <c r="D48" s="102"/>
      <c r="E48" s="102"/>
      <c r="F48" s="102"/>
      <c r="G48" s="102"/>
      <c r="H48" s="102"/>
      <c r="I48" s="102"/>
      <c r="J48" s="140" t="str">
        <f>IF(ISNA(VLOOKUP(tab_InstitutionConnections[[#This Row],[Sector]],Lists!$X$2:$Y$14,2,FALSE)),"",VLOOKUP(tab_InstitutionConnections[[#This Row],[Sector]],Lists!$X$2:$Y$14,2,FALSE))</f>
        <v/>
      </c>
    </row>
    <row r="49" spans="1:10" x14ac:dyDescent="0.25">
      <c r="A49" s="102"/>
      <c r="B49" s="102"/>
      <c r="C49" s="103"/>
      <c r="D49" s="102"/>
      <c r="E49" s="102"/>
      <c r="F49" s="102"/>
      <c r="G49" s="102"/>
      <c r="H49" s="102"/>
      <c r="I49" s="102"/>
      <c r="J49" s="140" t="str">
        <f>IF(ISNA(VLOOKUP(tab_InstitutionConnections[[#This Row],[Sector]],Lists!$X$2:$Y$14,2,FALSE)),"",VLOOKUP(tab_InstitutionConnections[[#This Row],[Sector]],Lists!$X$2:$Y$14,2,FALSE))</f>
        <v/>
      </c>
    </row>
    <row r="50" spans="1:10" x14ac:dyDescent="0.25">
      <c r="A50" s="102"/>
      <c r="B50" s="102"/>
      <c r="C50" s="103"/>
      <c r="D50" s="102"/>
      <c r="E50" s="102"/>
      <c r="F50" s="102"/>
      <c r="G50" s="102"/>
      <c r="H50" s="102"/>
      <c r="I50" s="102"/>
      <c r="J50" s="140" t="str">
        <f>IF(ISNA(VLOOKUP(tab_InstitutionConnections[[#This Row],[Sector]],Lists!$X$2:$Y$14,2,FALSE)),"",VLOOKUP(tab_InstitutionConnections[[#This Row],[Sector]],Lists!$X$2:$Y$14,2,FALSE))</f>
        <v/>
      </c>
    </row>
    <row r="51" spans="1:10" x14ac:dyDescent="0.25">
      <c r="A51" s="102"/>
      <c r="B51" s="102"/>
      <c r="C51" s="103"/>
      <c r="D51" s="102"/>
      <c r="E51" s="102"/>
      <c r="F51" s="102"/>
      <c r="G51" s="102"/>
      <c r="H51" s="102"/>
      <c r="I51" s="102"/>
      <c r="J51" s="140" t="str">
        <f>IF(ISNA(VLOOKUP(tab_InstitutionConnections[[#This Row],[Sector]],Lists!$X$2:$Y$14,2,FALSE)),"",VLOOKUP(tab_InstitutionConnections[[#This Row],[Sector]],Lists!$X$2:$Y$14,2,FALSE))</f>
        <v/>
      </c>
    </row>
    <row r="68" spans="4:4" x14ac:dyDescent="0.25">
      <c r="D68" s="87" t="e">
        <f>IF(AND(tab_InstitutionConnections[Institution Connection Role]="Financial Vehicle Corporation (FVC)",ref_SecuritisationReportedToSR="Yes",ref_NameOfSecuritisationRepository=""),FALSE,TRUE)</f>
        <v>#VALUE!</v>
      </c>
    </row>
  </sheetData>
  <sheetProtection algorithmName="SHA-512" hashValue="FdeU9Azken6ZFufANPp793cWmgh6AlKBfnrIDrOJ+w9Q+9rDbb09A70e4zPFXDh9atI3VIvMpmJkXxea2uu0DQ==" saltValue="7cFIPj7rsBd2EnHVJcO+MA==" spinCount="100000" sheet="1" objects="1" scenarios="1" sort="0" autoFilter="0"/>
  <conditionalFormatting sqref="B2:B51">
    <cfRule type="expression" dxfId="33" priority="2">
      <formula>AND(NOT(ISBLANK($B2)),ISNUMBER($B2)=FALSE)</formula>
    </cfRule>
  </conditionalFormatting>
  <conditionalFormatting sqref="A2:A51">
    <cfRule type="expression" dxfId="32" priority="1">
      <formula>AND(NOT(ISBLANK($A2)),COUNTIF(lis_InstitutionConnectionRole,$A2)=0)</formula>
    </cfRule>
  </conditionalFormatting>
  <conditionalFormatting sqref="F2:F51">
    <cfRule type="expression" dxfId="31" priority="5">
      <formula>AND(NOT(ISBLANK($F2)),ISNUMBER($F2)=FALSE)</formula>
    </cfRule>
  </conditionalFormatting>
  <conditionalFormatting sqref="D2:D51">
    <cfRule type="expression" dxfId="30" priority="4">
      <formula>AND(NOT(ISBLANK($D2)),COUNTIF(lis_OtherIdentifierName,$D2)=0)</formula>
    </cfRule>
  </conditionalFormatting>
  <conditionalFormatting sqref="H2:H51">
    <cfRule type="expression" dxfId="29" priority="6">
      <formula>AND(NOT(ISBLANK($H2)),COUNTIF(lis_Country,$H2)=0)</formula>
    </cfRule>
  </conditionalFormatting>
  <conditionalFormatting sqref="I2:I51">
    <cfRule type="expression" dxfId="28" priority="7">
      <formula>AND(NOT(ISBLANK($I2)),COUNTIF(lis_Sector,$I2)=0)</formula>
    </cfRule>
  </conditionalFormatting>
  <conditionalFormatting sqref="C2:C51">
    <cfRule type="expression" dxfId="27" priority="3">
      <formula>AND(NOT(ISBLANK($C2)),LEN($C2)&lt;&gt;20)</formula>
    </cfRule>
  </conditionalFormatting>
  <dataValidations count="6">
    <dataValidation type="list" allowBlank="1" showInputMessage="1" showErrorMessage="1" sqref="A2:A51">
      <formula1>lis_InstitutionConnectionRole</formula1>
    </dataValidation>
    <dataValidation type="list" allowBlank="1" showInputMessage="1" showErrorMessage="1" sqref="D2:D51">
      <formula1>lis_OtherIdentifierName</formula1>
    </dataValidation>
    <dataValidation type="textLength" errorStyle="warning" operator="equal" allowBlank="1" showInputMessage="1" showErrorMessage="1" errorTitle="Valid LEI" error="LEI code must be exactly 20 characters long." sqref="C2:C51">
      <formula1>20</formula1>
    </dataValidation>
    <dataValidation type="textLength" allowBlank="1" showInputMessage="1" showErrorMessage="1" sqref="E2:E51 G2:G51">
      <formula1>0</formula1>
      <formula2>250</formula2>
    </dataValidation>
    <dataValidation type="whole" allowBlank="1" showInputMessage="1" showErrorMessage="1" sqref="F2:F51">
      <formula1>0</formula1>
      <formula2>99999999</formula2>
    </dataValidation>
    <dataValidation type="whole" allowBlank="1" showInputMessage="1" showErrorMessage="1" sqref="B2:B51">
      <formula1>0</formula1>
      <formula2>999999999</formula2>
    </dataValidation>
  </dataValidations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Lists!$X$2:$X$14</xm:f>
          </x14:formula1>
          <xm:sqref>I2:I51</xm:sqref>
        </x14:dataValidation>
        <x14:dataValidation type="list" allowBlank="1" showInputMessage="1" showErrorMessage="1">
          <x14:formula1>
            <xm:f>Lists!$W$2:$W$248</xm:f>
          </x14:formula1>
          <xm:sqref>H2:H51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autoPageBreaks="0"/>
  </sheetPr>
  <dimension ref="A2:C168"/>
  <sheetViews>
    <sheetView workbookViewId="0"/>
  </sheetViews>
  <sheetFormatPr defaultColWidth="9.140625" defaultRowHeight="15" x14ac:dyDescent="0.25"/>
  <cols>
    <col min="1" max="1" width="6" style="51" customWidth="1"/>
    <col min="2" max="2" width="36.42578125" style="51" customWidth="1"/>
    <col min="3" max="3" width="9.140625" style="50" hidden="1" customWidth="1"/>
    <col min="4" max="16384" width="9.140625" style="51"/>
  </cols>
  <sheetData>
    <row r="2" spans="1:3" ht="15.75" thickBot="1" x14ac:dyDescent="0.3"/>
    <row r="3" spans="1:3" ht="15.75" thickBot="1" x14ac:dyDescent="0.3">
      <c r="A3" s="47" t="s">
        <v>500</v>
      </c>
      <c r="B3" s="48" t="s">
        <v>532</v>
      </c>
      <c r="C3" s="113" t="s">
        <v>1385</v>
      </c>
    </row>
    <row r="4" spans="1:3" x14ac:dyDescent="0.25">
      <c r="A4" s="44">
        <v>1</v>
      </c>
      <c r="B4" s="110"/>
      <c r="C4" s="141">
        <f>COUNTIF(tab_DebtIssuanceCurrency[Debt Issuance Currency],tab_DebtIssuanceCurrency[[#This Row],[Debt Issuance Currency]])</f>
        <v>0</v>
      </c>
    </row>
    <row r="5" spans="1:3" x14ac:dyDescent="0.25">
      <c r="A5" s="45">
        <v>2</v>
      </c>
      <c r="B5" s="111"/>
      <c r="C5" s="142">
        <f>COUNTIF(tab_DebtIssuanceCurrency[Debt Issuance Currency],tab_DebtIssuanceCurrency[[#This Row],[Debt Issuance Currency]])</f>
        <v>0</v>
      </c>
    </row>
    <row r="6" spans="1:3" x14ac:dyDescent="0.25">
      <c r="A6" s="45">
        <v>3</v>
      </c>
      <c r="B6" s="111"/>
      <c r="C6" s="142">
        <f>COUNTIF(tab_DebtIssuanceCurrency[Debt Issuance Currency],tab_DebtIssuanceCurrency[[#This Row],[Debt Issuance Currency]])</f>
        <v>0</v>
      </c>
    </row>
    <row r="7" spans="1:3" x14ac:dyDescent="0.25">
      <c r="A7" s="45">
        <v>4</v>
      </c>
      <c r="B7" s="111"/>
      <c r="C7" s="142">
        <f>COUNTIF(tab_DebtIssuanceCurrency[Debt Issuance Currency],tab_DebtIssuanceCurrency[[#This Row],[Debt Issuance Currency]])</f>
        <v>0</v>
      </c>
    </row>
    <row r="8" spans="1:3" x14ac:dyDescent="0.25">
      <c r="A8" s="45">
        <v>5</v>
      </c>
      <c r="B8" s="111"/>
      <c r="C8" s="142">
        <f>COUNTIF(tab_DebtIssuanceCurrency[Debt Issuance Currency],tab_DebtIssuanceCurrency[[#This Row],[Debt Issuance Currency]])</f>
        <v>0</v>
      </c>
    </row>
    <row r="9" spans="1:3" x14ac:dyDescent="0.25">
      <c r="A9" s="45">
        <v>6</v>
      </c>
      <c r="B9" s="111"/>
      <c r="C9" s="142">
        <f>COUNTIF(tab_DebtIssuanceCurrency[Debt Issuance Currency],tab_DebtIssuanceCurrency[[#This Row],[Debt Issuance Currency]])</f>
        <v>0</v>
      </c>
    </row>
    <row r="10" spans="1:3" x14ac:dyDescent="0.25">
      <c r="A10" s="45">
        <v>7</v>
      </c>
      <c r="B10" s="111"/>
      <c r="C10" s="142">
        <f>COUNTIF(tab_DebtIssuanceCurrency[Debt Issuance Currency],tab_DebtIssuanceCurrency[[#This Row],[Debt Issuance Currency]])</f>
        <v>0</v>
      </c>
    </row>
    <row r="11" spans="1:3" x14ac:dyDescent="0.25">
      <c r="A11" s="45">
        <v>8</v>
      </c>
      <c r="B11" s="111"/>
      <c r="C11" s="142">
        <f>COUNTIF(tab_DebtIssuanceCurrency[Debt Issuance Currency],tab_DebtIssuanceCurrency[[#This Row],[Debt Issuance Currency]])</f>
        <v>0</v>
      </c>
    </row>
    <row r="12" spans="1:3" x14ac:dyDescent="0.25">
      <c r="A12" s="45">
        <v>9</v>
      </c>
      <c r="B12" s="111"/>
      <c r="C12" s="142">
        <f>COUNTIF(tab_DebtIssuanceCurrency[Debt Issuance Currency],tab_DebtIssuanceCurrency[[#This Row],[Debt Issuance Currency]])</f>
        <v>0</v>
      </c>
    </row>
    <row r="13" spans="1:3" x14ac:dyDescent="0.25">
      <c r="A13" s="45">
        <v>10</v>
      </c>
      <c r="B13" s="111"/>
      <c r="C13" s="142">
        <f>COUNTIF(tab_DebtIssuanceCurrency[Debt Issuance Currency],tab_DebtIssuanceCurrency[[#This Row],[Debt Issuance Currency]])</f>
        <v>0</v>
      </c>
    </row>
    <row r="14" spans="1:3" x14ac:dyDescent="0.25">
      <c r="A14" s="45">
        <v>11</v>
      </c>
      <c r="B14" s="111"/>
      <c r="C14" s="142">
        <f>COUNTIF(tab_DebtIssuanceCurrency[Debt Issuance Currency],tab_DebtIssuanceCurrency[[#This Row],[Debt Issuance Currency]])</f>
        <v>0</v>
      </c>
    </row>
    <row r="15" spans="1:3" x14ac:dyDescent="0.25">
      <c r="A15" s="45">
        <v>12</v>
      </c>
      <c r="B15" s="111"/>
      <c r="C15" s="142">
        <f>COUNTIF(tab_DebtIssuanceCurrency[Debt Issuance Currency],tab_DebtIssuanceCurrency[[#This Row],[Debt Issuance Currency]])</f>
        <v>0</v>
      </c>
    </row>
    <row r="16" spans="1:3" x14ac:dyDescent="0.25">
      <c r="A16" s="45">
        <v>13</v>
      </c>
      <c r="B16" s="111"/>
      <c r="C16" s="142">
        <f>COUNTIF(tab_DebtIssuanceCurrency[Debt Issuance Currency],tab_DebtIssuanceCurrency[[#This Row],[Debt Issuance Currency]])</f>
        <v>0</v>
      </c>
    </row>
    <row r="17" spans="1:3" x14ac:dyDescent="0.25">
      <c r="A17" s="45">
        <v>14</v>
      </c>
      <c r="B17" s="111"/>
      <c r="C17" s="142">
        <f>COUNTIF(tab_DebtIssuanceCurrency[Debt Issuance Currency],tab_DebtIssuanceCurrency[[#This Row],[Debt Issuance Currency]])</f>
        <v>0</v>
      </c>
    </row>
    <row r="18" spans="1:3" x14ac:dyDescent="0.25">
      <c r="A18" s="45">
        <v>15</v>
      </c>
      <c r="B18" s="111"/>
      <c r="C18" s="142">
        <f>COUNTIF(tab_DebtIssuanceCurrency[Debt Issuance Currency],tab_DebtIssuanceCurrency[[#This Row],[Debt Issuance Currency]])</f>
        <v>0</v>
      </c>
    </row>
    <row r="19" spans="1:3" x14ac:dyDescent="0.25">
      <c r="A19" s="45">
        <v>16</v>
      </c>
      <c r="B19" s="111"/>
      <c r="C19" s="142">
        <f>COUNTIF(tab_DebtIssuanceCurrency[Debt Issuance Currency],tab_DebtIssuanceCurrency[[#This Row],[Debt Issuance Currency]])</f>
        <v>0</v>
      </c>
    </row>
    <row r="20" spans="1:3" x14ac:dyDescent="0.25">
      <c r="A20" s="45">
        <v>17</v>
      </c>
      <c r="B20" s="111"/>
      <c r="C20" s="142">
        <f>COUNTIF(tab_DebtIssuanceCurrency[Debt Issuance Currency],tab_DebtIssuanceCurrency[[#This Row],[Debt Issuance Currency]])</f>
        <v>0</v>
      </c>
    </row>
    <row r="21" spans="1:3" x14ac:dyDescent="0.25">
      <c r="A21" s="45">
        <v>18</v>
      </c>
      <c r="B21" s="111"/>
      <c r="C21" s="142">
        <f>COUNTIF(tab_DebtIssuanceCurrency[Debt Issuance Currency],tab_DebtIssuanceCurrency[[#This Row],[Debt Issuance Currency]])</f>
        <v>0</v>
      </c>
    </row>
    <row r="22" spans="1:3" x14ac:dyDescent="0.25">
      <c r="A22" s="45">
        <v>19</v>
      </c>
      <c r="B22" s="111"/>
      <c r="C22" s="142">
        <f>COUNTIF(tab_DebtIssuanceCurrency[Debt Issuance Currency],tab_DebtIssuanceCurrency[[#This Row],[Debt Issuance Currency]])</f>
        <v>0</v>
      </c>
    </row>
    <row r="23" spans="1:3" x14ac:dyDescent="0.25">
      <c r="A23" s="45">
        <v>20</v>
      </c>
      <c r="B23" s="111"/>
      <c r="C23" s="142">
        <f>COUNTIF(tab_DebtIssuanceCurrency[Debt Issuance Currency],tab_DebtIssuanceCurrency[[#This Row],[Debt Issuance Currency]])</f>
        <v>0</v>
      </c>
    </row>
    <row r="24" spans="1:3" x14ac:dyDescent="0.25">
      <c r="A24" s="45">
        <v>21</v>
      </c>
      <c r="B24" s="111"/>
      <c r="C24" s="142">
        <f>COUNTIF(tab_DebtIssuanceCurrency[Debt Issuance Currency],tab_DebtIssuanceCurrency[[#This Row],[Debt Issuance Currency]])</f>
        <v>0</v>
      </c>
    </row>
    <row r="25" spans="1:3" x14ac:dyDescent="0.25">
      <c r="A25" s="45">
        <v>22</v>
      </c>
      <c r="B25" s="111"/>
      <c r="C25" s="142">
        <f>COUNTIF(tab_DebtIssuanceCurrency[Debt Issuance Currency],tab_DebtIssuanceCurrency[[#This Row],[Debt Issuance Currency]])</f>
        <v>0</v>
      </c>
    </row>
    <row r="26" spans="1:3" x14ac:dyDescent="0.25">
      <c r="A26" s="45">
        <v>23</v>
      </c>
      <c r="B26" s="111"/>
      <c r="C26" s="142">
        <f>COUNTIF(tab_DebtIssuanceCurrency[Debt Issuance Currency],tab_DebtIssuanceCurrency[[#This Row],[Debt Issuance Currency]])</f>
        <v>0</v>
      </c>
    </row>
    <row r="27" spans="1:3" x14ac:dyDescent="0.25">
      <c r="A27" s="45">
        <v>24</v>
      </c>
      <c r="B27" s="111"/>
      <c r="C27" s="142">
        <f>COUNTIF(tab_DebtIssuanceCurrency[Debt Issuance Currency],tab_DebtIssuanceCurrency[[#This Row],[Debt Issuance Currency]])</f>
        <v>0</v>
      </c>
    </row>
    <row r="28" spans="1:3" x14ac:dyDescent="0.25">
      <c r="A28" s="45">
        <v>25</v>
      </c>
      <c r="B28" s="111"/>
      <c r="C28" s="142">
        <f>COUNTIF(tab_DebtIssuanceCurrency[Debt Issuance Currency],tab_DebtIssuanceCurrency[[#This Row],[Debt Issuance Currency]])</f>
        <v>0</v>
      </c>
    </row>
    <row r="29" spans="1:3" x14ac:dyDescent="0.25">
      <c r="A29" s="45">
        <v>26</v>
      </c>
      <c r="B29" s="111"/>
      <c r="C29" s="142">
        <f>COUNTIF(tab_DebtIssuanceCurrency[Debt Issuance Currency],tab_DebtIssuanceCurrency[[#This Row],[Debt Issuance Currency]])</f>
        <v>0</v>
      </c>
    </row>
    <row r="30" spans="1:3" x14ac:dyDescent="0.25">
      <c r="A30" s="45">
        <v>27</v>
      </c>
      <c r="B30" s="111"/>
      <c r="C30" s="142">
        <f>COUNTIF(tab_DebtIssuanceCurrency[Debt Issuance Currency],tab_DebtIssuanceCurrency[[#This Row],[Debt Issuance Currency]])</f>
        <v>0</v>
      </c>
    </row>
    <row r="31" spans="1:3" x14ac:dyDescent="0.25">
      <c r="A31" s="45">
        <v>28</v>
      </c>
      <c r="B31" s="111"/>
      <c r="C31" s="142">
        <f>COUNTIF(tab_DebtIssuanceCurrency[Debt Issuance Currency],tab_DebtIssuanceCurrency[[#This Row],[Debt Issuance Currency]])</f>
        <v>0</v>
      </c>
    </row>
    <row r="32" spans="1:3" x14ac:dyDescent="0.25">
      <c r="A32" s="45">
        <v>29</v>
      </c>
      <c r="B32" s="111"/>
      <c r="C32" s="142">
        <f>COUNTIF(tab_DebtIssuanceCurrency[Debt Issuance Currency],tab_DebtIssuanceCurrency[[#This Row],[Debt Issuance Currency]])</f>
        <v>0</v>
      </c>
    </row>
    <row r="33" spans="1:3" x14ac:dyDescent="0.25">
      <c r="A33" s="45">
        <v>30</v>
      </c>
      <c r="B33" s="111"/>
      <c r="C33" s="142">
        <f>COUNTIF(tab_DebtIssuanceCurrency[Debt Issuance Currency],tab_DebtIssuanceCurrency[[#This Row],[Debt Issuance Currency]])</f>
        <v>0</v>
      </c>
    </row>
    <row r="34" spans="1:3" x14ac:dyDescent="0.25">
      <c r="A34" s="45">
        <v>31</v>
      </c>
      <c r="B34" s="111"/>
      <c r="C34" s="142">
        <f>COUNTIF(tab_DebtIssuanceCurrency[Debt Issuance Currency],tab_DebtIssuanceCurrency[[#This Row],[Debt Issuance Currency]])</f>
        <v>0</v>
      </c>
    </row>
    <row r="35" spans="1:3" x14ac:dyDescent="0.25">
      <c r="A35" s="45">
        <v>32</v>
      </c>
      <c r="B35" s="111"/>
      <c r="C35" s="142">
        <f>COUNTIF(tab_DebtIssuanceCurrency[Debt Issuance Currency],tab_DebtIssuanceCurrency[[#This Row],[Debt Issuance Currency]])</f>
        <v>0</v>
      </c>
    </row>
    <row r="36" spans="1:3" x14ac:dyDescent="0.25">
      <c r="A36" s="45">
        <v>33</v>
      </c>
      <c r="B36" s="111"/>
      <c r="C36" s="142">
        <f>COUNTIF(tab_DebtIssuanceCurrency[Debt Issuance Currency],tab_DebtIssuanceCurrency[[#This Row],[Debt Issuance Currency]])</f>
        <v>0</v>
      </c>
    </row>
    <row r="37" spans="1:3" x14ac:dyDescent="0.25">
      <c r="A37" s="45">
        <v>34</v>
      </c>
      <c r="B37" s="111"/>
      <c r="C37" s="142">
        <f>COUNTIF(tab_DebtIssuanceCurrency[Debt Issuance Currency],tab_DebtIssuanceCurrency[[#This Row],[Debt Issuance Currency]])</f>
        <v>0</v>
      </c>
    </row>
    <row r="38" spans="1:3" x14ac:dyDescent="0.25">
      <c r="A38" s="45">
        <v>35</v>
      </c>
      <c r="B38" s="111"/>
      <c r="C38" s="142">
        <f>COUNTIF(tab_DebtIssuanceCurrency[Debt Issuance Currency],tab_DebtIssuanceCurrency[[#This Row],[Debt Issuance Currency]])</f>
        <v>0</v>
      </c>
    </row>
    <row r="39" spans="1:3" x14ac:dyDescent="0.25">
      <c r="A39" s="45">
        <v>36</v>
      </c>
      <c r="B39" s="111"/>
      <c r="C39" s="142">
        <f>COUNTIF(tab_DebtIssuanceCurrency[Debt Issuance Currency],tab_DebtIssuanceCurrency[[#This Row],[Debt Issuance Currency]])</f>
        <v>0</v>
      </c>
    </row>
    <row r="40" spans="1:3" x14ac:dyDescent="0.25">
      <c r="A40" s="45">
        <v>37</v>
      </c>
      <c r="B40" s="111"/>
      <c r="C40" s="142">
        <f>COUNTIF(tab_DebtIssuanceCurrency[Debt Issuance Currency],tab_DebtIssuanceCurrency[[#This Row],[Debt Issuance Currency]])</f>
        <v>0</v>
      </c>
    </row>
    <row r="41" spans="1:3" x14ac:dyDescent="0.25">
      <c r="A41" s="45">
        <v>38</v>
      </c>
      <c r="B41" s="111"/>
      <c r="C41" s="142">
        <f>COUNTIF(tab_DebtIssuanceCurrency[Debt Issuance Currency],tab_DebtIssuanceCurrency[[#This Row],[Debt Issuance Currency]])</f>
        <v>0</v>
      </c>
    </row>
    <row r="42" spans="1:3" x14ac:dyDescent="0.25">
      <c r="A42" s="45">
        <v>39</v>
      </c>
      <c r="B42" s="111"/>
      <c r="C42" s="142">
        <f>COUNTIF(tab_DebtIssuanceCurrency[Debt Issuance Currency],tab_DebtIssuanceCurrency[[#This Row],[Debt Issuance Currency]])</f>
        <v>0</v>
      </c>
    </row>
    <row r="43" spans="1:3" x14ac:dyDescent="0.25">
      <c r="A43" s="45">
        <v>40</v>
      </c>
      <c r="B43" s="111"/>
      <c r="C43" s="142">
        <f>COUNTIF(tab_DebtIssuanceCurrency[Debt Issuance Currency],tab_DebtIssuanceCurrency[[#This Row],[Debt Issuance Currency]])</f>
        <v>0</v>
      </c>
    </row>
    <row r="44" spans="1:3" x14ac:dyDescent="0.25">
      <c r="A44" s="45">
        <v>41</v>
      </c>
      <c r="B44" s="111"/>
      <c r="C44" s="142">
        <f>COUNTIF(tab_DebtIssuanceCurrency[Debt Issuance Currency],tab_DebtIssuanceCurrency[[#This Row],[Debt Issuance Currency]])</f>
        <v>0</v>
      </c>
    </row>
    <row r="45" spans="1:3" x14ac:dyDescent="0.25">
      <c r="A45" s="45">
        <v>42</v>
      </c>
      <c r="B45" s="111"/>
      <c r="C45" s="142">
        <f>COUNTIF(tab_DebtIssuanceCurrency[Debt Issuance Currency],tab_DebtIssuanceCurrency[[#This Row],[Debt Issuance Currency]])</f>
        <v>0</v>
      </c>
    </row>
    <row r="46" spans="1:3" x14ac:dyDescent="0.25">
      <c r="A46" s="45">
        <v>43</v>
      </c>
      <c r="B46" s="111"/>
      <c r="C46" s="142">
        <f>COUNTIF(tab_DebtIssuanceCurrency[Debt Issuance Currency],tab_DebtIssuanceCurrency[[#This Row],[Debt Issuance Currency]])</f>
        <v>0</v>
      </c>
    </row>
    <row r="47" spans="1:3" x14ac:dyDescent="0.25">
      <c r="A47" s="45">
        <v>44</v>
      </c>
      <c r="B47" s="111"/>
      <c r="C47" s="142">
        <f>COUNTIF(tab_DebtIssuanceCurrency[Debt Issuance Currency],tab_DebtIssuanceCurrency[[#This Row],[Debt Issuance Currency]])</f>
        <v>0</v>
      </c>
    </row>
    <row r="48" spans="1:3" x14ac:dyDescent="0.25">
      <c r="A48" s="45">
        <v>45</v>
      </c>
      <c r="B48" s="111"/>
      <c r="C48" s="142">
        <f>COUNTIF(tab_DebtIssuanceCurrency[Debt Issuance Currency],tab_DebtIssuanceCurrency[[#This Row],[Debt Issuance Currency]])</f>
        <v>0</v>
      </c>
    </row>
    <row r="49" spans="1:3" x14ac:dyDescent="0.25">
      <c r="A49" s="45">
        <v>46</v>
      </c>
      <c r="B49" s="111"/>
      <c r="C49" s="142">
        <f>COUNTIF(tab_DebtIssuanceCurrency[Debt Issuance Currency],tab_DebtIssuanceCurrency[[#This Row],[Debt Issuance Currency]])</f>
        <v>0</v>
      </c>
    </row>
    <row r="50" spans="1:3" x14ac:dyDescent="0.25">
      <c r="A50" s="45">
        <v>47</v>
      </c>
      <c r="B50" s="111"/>
      <c r="C50" s="142">
        <f>COUNTIF(tab_DebtIssuanceCurrency[Debt Issuance Currency],tab_DebtIssuanceCurrency[[#This Row],[Debt Issuance Currency]])</f>
        <v>0</v>
      </c>
    </row>
    <row r="51" spans="1:3" x14ac:dyDescent="0.25">
      <c r="A51" s="45">
        <v>48</v>
      </c>
      <c r="B51" s="111"/>
      <c r="C51" s="142">
        <f>COUNTIF(tab_DebtIssuanceCurrency[Debt Issuance Currency],tab_DebtIssuanceCurrency[[#This Row],[Debt Issuance Currency]])</f>
        <v>0</v>
      </c>
    </row>
    <row r="52" spans="1:3" x14ac:dyDescent="0.25">
      <c r="A52" s="45">
        <v>49</v>
      </c>
      <c r="B52" s="111"/>
      <c r="C52" s="142">
        <f>COUNTIF(tab_DebtIssuanceCurrency[Debt Issuance Currency],tab_DebtIssuanceCurrency[[#This Row],[Debt Issuance Currency]])</f>
        <v>0</v>
      </c>
    </row>
    <row r="53" spans="1:3" x14ac:dyDescent="0.25">
      <c r="A53" s="45">
        <v>50</v>
      </c>
      <c r="B53" s="111"/>
      <c r="C53" s="142">
        <f>COUNTIF(tab_DebtIssuanceCurrency[Debt Issuance Currency],tab_DebtIssuanceCurrency[[#This Row],[Debt Issuance Currency]])</f>
        <v>0</v>
      </c>
    </row>
    <row r="54" spans="1:3" x14ac:dyDescent="0.25">
      <c r="A54" s="45">
        <v>51</v>
      </c>
      <c r="B54" s="111"/>
      <c r="C54" s="142">
        <f>COUNTIF(tab_DebtIssuanceCurrency[Debt Issuance Currency],tab_DebtIssuanceCurrency[[#This Row],[Debt Issuance Currency]])</f>
        <v>0</v>
      </c>
    </row>
    <row r="55" spans="1:3" x14ac:dyDescent="0.25">
      <c r="A55" s="45">
        <v>52</v>
      </c>
      <c r="B55" s="111"/>
      <c r="C55" s="142">
        <f>COUNTIF(tab_DebtIssuanceCurrency[Debt Issuance Currency],tab_DebtIssuanceCurrency[[#This Row],[Debt Issuance Currency]])</f>
        <v>0</v>
      </c>
    </row>
    <row r="56" spans="1:3" x14ac:dyDescent="0.25">
      <c r="A56" s="45">
        <v>53</v>
      </c>
      <c r="B56" s="111"/>
      <c r="C56" s="142">
        <f>COUNTIF(tab_DebtIssuanceCurrency[Debt Issuance Currency],tab_DebtIssuanceCurrency[[#This Row],[Debt Issuance Currency]])</f>
        <v>0</v>
      </c>
    </row>
    <row r="57" spans="1:3" x14ac:dyDescent="0.25">
      <c r="A57" s="45">
        <v>54</v>
      </c>
      <c r="B57" s="111"/>
      <c r="C57" s="142">
        <f>COUNTIF(tab_DebtIssuanceCurrency[Debt Issuance Currency],tab_DebtIssuanceCurrency[[#This Row],[Debt Issuance Currency]])</f>
        <v>0</v>
      </c>
    </row>
    <row r="58" spans="1:3" x14ac:dyDescent="0.25">
      <c r="A58" s="45">
        <v>55</v>
      </c>
      <c r="B58" s="111"/>
      <c r="C58" s="142">
        <f>COUNTIF(tab_DebtIssuanceCurrency[Debt Issuance Currency],tab_DebtIssuanceCurrency[[#This Row],[Debt Issuance Currency]])</f>
        <v>0</v>
      </c>
    </row>
    <row r="59" spans="1:3" x14ac:dyDescent="0.25">
      <c r="A59" s="45">
        <v>56</v>
      </c>
      <c r="B59" s="111"/>
      <c r="C59" s="142">
        <f>COUNTIF(tab_DebtIssuanceCurrency[Debt Issuance Currency],tab_DebtIssuanceCurrency[[#This Row],[Debt Issuance Currency]])</f>
        <v>0</v>
      </c>
    </row>
    <row r="60" spans="1:3" x14ac:dyDescent="0.25">
      <c r="A60" s="45">
        <v>57</v>
      </c>
      <c r="B60" s="111"/>
      <c r="C60" s="142">
        <f>COUNTIF(tab_DebtIssuanceCurrency[Debt Issuance Currency],tab_DebtIssuanceCurrency[[#This Row],[Debt Issuance Currency]])</f>
        <v>0</v>
      </c>
    </row>
    <row r="61" spans="1:3" x14ac:dyDescent="0.25">
      <c r="A61" s="45">
        <v>58</v>
      </c>
      <c r="B61" s="111"/>
      <c r="C61" s="142">
        <f>COUNTIF(tab_DebtIssuanceCurrency[Debt Issuance Currency],tab_DebtIssuanceCurrency[[#This Row],[Debt Issuance Currency]])</f>
        <v>0</v>
      </c>
    </row>
    <row r="62" spans="1:3" x14ac:dyDescent="0.25">
      <c r="A62" s="45">
        <v>59</v>
      </c>
      <c r="B62" s="111"/>
      <c r="C62" s="142">
        <f>COUNTIF(tab_DebtIssuanceCurrency[Debt Issuance Currency],tab_DebtIssuanceCurrency[[#This Row],[Debt Issuance Currency]])</f>
        <v>0</v>
      </c>
    </row>
    <row r="63" spans="1:3" x14ac:dyDescent="0.25">
      <c r="A63" s="45">
        <v>60</v>
      </c>
      <c r="B63" s="111"/>
      <c r="C63" s="142">
        <f>COUNTIF(tab_DebtIssuanceCurrency[Debt Issuance Currency],tab_DebtIssuanceCurrency[[#This Row],[Debt Issuance Currency]])</f>
        <v>0</v>
      </c>
    </row>
    <row r="64" spans="1:3" x14ac:dyDescent="0.25">
      <c r="A64" s="45">
        <v>61</v>
      </c>
      <c r="B64" s="111"/>
      <c r="C64" s="142">
        <f>COUNTIF(tab_DebtIssuanceCurrency[Debt Issuance Currency],tab_DebtIssuanceCurrency[[#This Row],[Debt Issuance Currency]])</f>
        <v>0</v>
      </c>
    </row>
    <row r="65" spans="1:3" x14ac:dyDescent="0.25">
      <c r="A65" s="45">
        <v>62</v>
      </c>
      <c r="B65" s="111"/>
      <c r="C65" s="142">
        <f>COUNTIF(tab_DebtIssuanceCurrency[Debt Issuance Currency],tab_DebtIssuanceCurrency[[#This Row],[Debt Issuance Currency]])</f>
        <v>0</v>
      </c>
    </row>
    <row r="66" spans="1:3" x14ac:dyDescent="0.25">
      <c r="A66" s="45">
        <v>63</v>
      </c>
      <c r="B66" s="111"/>
      <c r="C66" s="142">
        <f>COUNTIF(tab_DebtIssuanceCurrency[Debt Issuance Currency],tab_DebtIssuanceCurrency[[#This Row],[Debt Issuance Currency]])</f>
        <v>0</v>
      </c>
    </row>
    <row r="67" spans="1:3" x14ac:dyDescent="0.25">
      <c r="A67" s="45">
        <v>64</v>
      </c>
      <c r="B67" s="111"/>
      <c r="C67" s="142">
        <f>COUNTIF(tab_DebtIssuanceCurrency[Debt Issuance Currency],tab_DebtIssuanceCurrency[[#This Row],[Debt Issuance Currency]])</f>
        <v>0</v>
      </c>
    </row>
    <row r="68" spans="1:3" x14ac:dyDescent="0.25">
      <c r="A68" s="45">
        <v>65</v>
      </c>
      <c r="B68" s="111"/>
      <c r="C68" s="142">
        <f>COUNTIF(tab_DebtIssuanceCurrency[Debt Issuance Currency],tab_DebtIssuanceCurrency[[#This Row],[Debt Issuance Currency]])</f>
        <v>0</v>
      </c>
    </row>
    <row r="69" spans="1:3" x14ac:dyDescent="0.25">
      <c r="A69" s="45">
        <v>66</v>
      </c>
      <c r="B69" s="111"/>
      <c r="C69" s="142">
        <f>COUNTIF(tab_DebtIssuanceCurrency[Debt Issuance Currency],tab_DebtIssuanceCurrency[[#This Row],[Debt Issuance Currency]])</f>
        <v>0</v>
      </c>
    </row>
    <row r="70" spans="1:3" x14ac:dyDescent="0.25">
      <c r="A70" s="45">
        <v>67</v>
      </c>
      <c r="B70" s="111"/>
      <c r="C70" s="142">
        <f>COUNTIF(tab_DebtIssuanceCurrency[Debt Issuance Currency],tab_DebtIssuanceCurrency[[#This Row],[Debt Issuance Currency]])</f>
        <v>0</v>
      </c>
    </row>
    <row r="71" spans="1:3" x14ac:dyDescent="0.25">
      <c r="A71" s="45">
        <v>68</v>
      </c>
      <c r="B71" s="111"/>
      <c r="C71" s="142">
        <f>COUNTIF(tab_DebtIssuanceCurrency[Debt Issuance Currency],tab_DebtIssuanceCurrency[[#This Row],[Debt Issuance Currency]])</f>
        <v>0</v>
      </c>
    </row>
    <row r="72" spans="1:3" x14ac:dyDescent="0.25">
      <c r="A72" s="45">
        <v>69</v>
      </c>
      <c r="B72" s="111"/>
      <c r="C72" s="142">
        <f>COUNTIF(tab_DebtIssuanceCurrency[Debt Issuance Currency],tab_DebtIssuanceCurrency[[#This Row],[Debt Issuance Currency]])</f>
        <v>0</v>
      </c>
    </row>
    <row r="73" spans="1:3" x14ac:dyDescent="0.25">
      <c r="A73" s="45">
        <v>70</v>
      </c>
      <c r="B73" s="111"/>
      <c r="C73" s="142">
        <f>COUNTIF(tab_DebtIssuanceCurrency[Debt Issuance Currency],tab_DebtIssuanceCurrency[[#This Row],[Debt Issuance Currency]])</f>
        <v>0</v>
      </c>
    </row>
    <row r="74" spans="1:3" x14ac:dyDescent="0.25">
      <c r="A74" s="45">
        <v>71</v>
      </c>
      <c r="B74" s="111"/>
      <c r="C74" s="142">
        <f>COUNTIF(tab_DebtIssuanceCurrency[Debt Issuance Currency],tab_DebtIssuanceCurrency[[#This Row],[Debt Issuance Currency]])</f>
        <v>0</v>
      </c>
    </row>
    <row r="75" spans="1:3" x14ac:dyDescent="0.25">
      <c r="A75" s="45">
        <v>72</v>
      </c>
      <c r="B75" s="111"/>
      <c r="C75" s="142">
        <f>COUNTIF(tab_DebtIssuanceCurrency[Debt Issuance Currency],tab_DebtIssuanceCurrency[[#This Row],[Debt Issuance Currency]])</f>
        <v>0</v>
      </c>
    </row>
    <row r="76" spans="1:3" x14ac:dyDescent="0.25">
      <c r="A76" s="45">
        <v>73</v>
      </c>
      <c r="B76" s="111"/>
      <c r="C76" s="142">
        <f>COUNTIF(tab_DebtIssuanceCurrency[Debt Issuance Currency],tab_DebtIssuanceCurrency[[#This Row],[Debt Issuance Currency]])</f>
        <v>0</v>
      </c>
    </row>
    <row r="77" spans="1:3" x14ac:dyDescent="0.25">
      <c r="A77" s="45">
        <v>74</v>
      </c>
      <c r="B77" s="111"/>
      <c r="C77" s="142">
        <f>COUNTIF(tab_DebtIssuanceCurrency[Debt Issuance Currency],tab_DebtIssuanceCurrency[[#This Row],[Debt Issuance Currency]])</f>
        <v>0</v>
      </c>
    </row>
    <row r="78" spans="1:3" x14ac:dyDescent="0.25">
      <c r="A78" s="45">
        <v>75</v>
      </c>
      <c r="B78" s="111"/>
      <c r="C78" s="142">
        <f>COUNTIF(tab_DebtIssuanceCurrency[Debt Issuance Currency],tab_DebtIssuanceCurrency[[#This Row],[Debt Issuance Currency]])</f>
        <v>0</v>
      </c>
    </row>
    <row r="79" spans="1:3" x14ac:dyDescent="0.25">
      <c r="A79" s="45">
        <v>76</v>
      </c>
      <c r="B79" s="111"/>
      <c r="C79" s="142">
        <f>COUNTIF(tab_DebtIssuanceCurrency[Debt Issuance Currency],tab_DebtIssuanceCurrency[[#This Row],[Debt Issuance Currency]])</f>
        <v>0</v>
      </c>
    </row>
    <row r="80" spans="1:3" x14ac:dyDescent="0.25">
      <c r="A80" s="45">
        <v>77</v>
      </c>
      <c r="B80" s="111"/>
      <c r="C80" s="142">
        <f>COUNTIF(tab_DebtIssuanceCurrency[Debt Issuance Currency],tab_DebtIssuanceCurrency[[#This Row],[Debt Issuance Currency]])</f>
        <v>0</v>
      </c>
    </row>
    <row r="81" spans="1:3" x14ac:dyDescent="0.25">
      <c r="A81" s="45">
        <v>78</v>
      </c>
      <c r="B81" s="111"/>
      <c r="C81" s="142">
        <f>COUNTIF(tab_DebtIssuanceCurrency[Debt Issuance Currency],tab_DebtIssuanceCurrency[[#This Row],[Debt Issuance Currency]])</f>
        <v>0</v>
      </c>
    </row>
    <row r="82" spans="1:3" x14ac:dyDescent="0.25">
      <c r="A82" s="45">
        <v>79</v>
      </c>
      <c r="B82" s="111"/>
      <c r="C82" s="142">
        <f>COUNTIF(tab_DebtIssuanceCurrency[Debt Issuance Currency],tab_DebtIssuanceCurrency[[#This Row],[Debt Issuance Currency]])</f>
        <v>0</v>
      </c>
    </row>
    <row r="83" spans="1:3" x14ac:dyDescent="0.25">
      <c r="A83" s="45">
        <v>80</v>
      </c>
      <c r="B83" s="111"/>
      <c r="C83" s="142">
        <f>COUNTIF(tab_DebtIssuanceCurrency[Debt Issuance Currency],tab_DebtIssuanceCurrency[[#This Row],[Debt Issuance Currency]])</f>
        <v>0</v>
      </c>
    </row>
    <row r="84" spans="1:3" x14ac:dyDescent="0.25">
      <c r="A84" s="45">
        <v>81</v>
      </c>
      <c r="B84" s="111"/>
      <c r="C84" s="142">
        <f>COUNTIF(tab_DebtIssuanceCurrency[Debt Issuance Currency],tab_DebtIssuanceCurrency[[#This Row],[Debt Issuance Currency]])</f>
        <v>0</v>
      </c>
    </row>
    <row r="85" spans="1:3" x14ac:dyDescent="0.25">
      <c r="A85" s="45">
        <v>82</v>
      </c>
      <c r="B85" s="111"/>
      <c r="C85" s="142">
        <f>COUNTIF(tab_DebtIssuanceCurrency[Debt Issuance Currency],tab_DebtIssuanceCurrency[[#This Row],[Debt Issuance Currency]])</f>
        <v>0</v>
      </c>
    </row>
    <row r="86" spans="1:3" x14ac:dyDescent="0.25">
      <c r="A86" s="45">
        <v>83</v>
      </c>
      <c r="B86" s="111"/>
      <c r="C86" s="142">
        <f>COUNTIF(tab_DebtIssuanceCurrency[Debt Issuance Currency],tab_DebtIssuanceCurrency[[#This Row],[Debt Issuance Currency]])</f>
        <v>0</v>
      </c>
    </row>
    <row r="87" spans="1:3" x14ac:dyDescent="0.25">
      <c r="A87" s="45">
        <v>84</v>
      </c>
      <c r="B87" s="111"/>
      <c r="C87" s="142">
        <f>COUNTIF(tab_DebtIssuanceCurrency[Debt Issuance Currency],tab_DebtIssuanceCurrency[[#This Row],[Debt Issuance Currency]])</f>
        <v>0</v>
      </c>
    </row>
    <row r="88" spans="1:3" x14ac:dyDescent="0.25">
      <c r="A88" s="45">
        <v>85</v>
      </c>
      <c r="B88" s="111"/>
      <c r="C88" s="142">
        <f>COUNTIF(tab_DebtIssuanceCurrency[Debt Issuance Currency],tab_DebtIssuanceCurrency[[#This Row],[Debt Issuance Currency]])</f>
        <v>0</v>
      </c>
    </row>
    <row r="89" spans="1:3" x14ac:dyDescent="0.25">
      <c r="A89" s="45">
        <v>86</v>
      </c>
      <c r="B89" s="111"/>
      <c r="C89" s="142">
        <f>COUNTIF(tab_DebtIssuanceCurrency[Debt Issuance Currency],tab_DebtIssuanceCurrency[[#This Row],[Debt Issuance Currency]])</f>
        <v>0</v>
      </c>
    </row>
    <row r="90" spans="1:3" x14ac:dyDescent="0.25">
      <c r="A90" s="45">
        <v>87</v>
      </c>
      <c r="B90" s="111"/>
      <c r="C90" s="142">
        <f>COUNTIF(tab_DebtIssuanceCurrency[Debt Issuance Currency],tab_DebtIssuanceCurrency[[#This Row],[Debt Issuance Currency]])</f>
        <v>0</v>
      </c>
    </row>
    <row r="91" spans="1:3" x14ac:dyDescent="0.25">
      <c r="A91" s="45">
        <v>88</v>
      </c>
      <c r="B91" s="111"/>
      <c r="C91" s="142">
        <f>COUNTIF(tab_DebtIssuanceCurrency[Debt Issuance Currency],tab_DebtIssuanceCurrency[[#This Row],[Debt Issuance Currency]])</f>
        <v>0</v>
      </c>
    </row>
    <row r="92" spans="1:3" x14ac:dyDescent="0.25">
      <c r="A92" s="45">
        <v>89</v>
      </c>
      <c r="B92" s="111"/>
      <c r="C92" s="142">
        <f>COUNTIF(tab_DebtIssuanceCurrency[Debt Issuance Currency],tab_DebtIssuanceCurrency[[#This Row],[Debt Issuance Currency]])</f>
        <v>0</v>
      </c>
    </row>
    <row r="93" spans="1:3" x14ac:dyDescent="0.25">
      <c r="A93" s="45">
        <v>90</v>
      </c>
      <c r="B93" s="111"/>
      <c r="C93" s="142">
        <f>COUNTIF(tab_DebtIssuanceCurrency[Debt Issuance Currency],tab_DebtIssuanceCurrency[[#This Row],[Debt Issuance Currency]])</f>
        <v>0</v>
      </c>
    </row>
    <row r="94" spans="1:3" x14ac:dyDescent="0.25">
      <c r="A94" s="45">
        <v>91</v>
      </c>
      <c r="B94" s="111"/>
      <c r="C94" s="142">
        <f>COUNTIF(tab_DebtIssuanceCurrency[Debt Issuance Currency],tab_DebtIssuanceCurrency[[#This Row],[Debt Issuance Currency]])</f>
        <v>0</v>
      </c>
    </row>
    <row r="95" spans="1:3" x14ac:dyDescent="0.25">
      <c r="A95" s="45">
        <v>92</v>
      </c>
      <c r="B95" s="111"/>
      <c r="C95" s="142">
        <f>COUNTIF(tab_DebtIssuanceCurrency[Debt Issuance Currency],tab_DebtIssuanceCurrency[[#This Row],[Debt Issuance Currency]])</f>
        <v>0</v>
      </c>
    </row>
    <row r="96" spans="1:3" x14ac:dyDescent="0.25">
      <c r="A96" s="45">
        <v>93</v>
      </c>
      <c r="B96" s="111"/>
      <c r="C96" s="142">
        <f>COUNTIF(tab_DebtIssuanceCurrency[Debt Issuance Currency],tab_DebtIssuanceCurrency[[#This Row],[Debt Issuance Currency]])</f>
        <v>0</v>
      </c>
    </row>
    <row r="97" spans="1:3" x14ac:dyDescent="0.25">
      <c r="A97" s="45">
        <v>94</v>
      </c>
      <c r="B97" s="111"/>
      <c r="C97" s="142">
        <f>COUNTIF(tab_DebtIssuanceCurrency[Debt Issuance Currency],tab_DebtIssuanceCurrency[[#This Row],[Debt Issuance Currency]])</f>
        <v>0</v>
      </c>
    </row>
    <row r="98" spans="1:3" x14ac:dyDescent="0.25">
      <c r="A98" s="45">
        <v>95</v>
      </c>
      <c r="B98" s="111"/>
      <c r="C98" s="142">
        <f>COUNTIF(tab_DebtIssuanceCurrency[Debt Issuance Currency],tab_DebtIssuanceCurrency[[#This Row],[Debt Issuance Currency]])</f>
        <v>0</v>
      </c>
    </row>
    <row r="99" spans="1:3" x14ac:dyDescent="0.25">
      <c r="A99" s="45">
        <v>96</v>
      </c>
      <c r="B99" s="111"/>
      <c r="C99" s="142">
        <f>COUNTIF(tab_DebtIssuanceCurrency[Debt Issuance Currency],tab_DebtIssuanceCurrency[[#This Row],[Debt Issuance Currency]])</f>
        <v>0</v>
      </c>
    </row>
    <row r="100" spans="1:3" x14ac:dyDescent="0.25">
      <c r="A100" s="45">
        <v>97</v>
      </c>
      <c r="B100" s="111"/>
      <c r="C100" s="142">
        <f>COUNTIF(tab_DebtIssuanceCurrency[Debt Issuance Currency],tab_DebtIssuanceCurrency[[#This Row],[Debt Issuance Currency]])</f>
        <v>0</v>
      </c>
    </row>
    <row r="101" spans="1:3" x14ac:dyDescent="0.25">
      <c r="A101" s="45">
        <v>98</v>
      </c>
      <c r="B101" s="111"/>
      <c r="C101" s="142">
        <f>COUNTIF(tab_DebtIssuanceCurrency[Debt Issuance Currency],tab_DebtIssuanceCurrency[[#This Row],[Debt Issuance Currency]])</f>
        <v>0</v>
      </c>
    </row>
    <row r="102" spans="1:3" x14ac:dyDescent="0.25">
      <c r="A102" s="45">
        <v>99</v>
      </c>
      <c r="B102" s="111"/>
      <c r="C102" s="142">
        <f>COUNTIF(tab_DebtIssuanceCurrency[Debt Issuance Currency],tab_DebtIssuanceCurrency[[#This Row],[Debt Issuance Currency]])</f>
        <v>0</v>
      </c>
    </row>
    <row r="103" spans="1:3" x14ac:dyDescent="0.25">
      <c r="A103" s="45">
        <v>100</v>
      </c>
      <c r="B103" s="111"/>
      <c r="C103" s="142">
        <f>COUNTIF(tab_DebtIssuanceCurrency[Debt Issuance Currency],tab_DebtIssuanceCurrency[[#This Row],[Debt Issuance Currency]])</f>
        <v>0</v>
      </c>
    </row>
    <row r="104" spans="1:3" x14ac:dyDescent="0.25">
      <c r="A104" s="45">
        <v>101</v>
      </c>
      <c r="B104" s="111"/>
      <c r="C104" s="142">
        <f>COUNTIF(tab_DebtIssuanceCurrency[Debt Issuance Currency],tab_DebtIssuanceCurrency[[#This Row],[Debt Issuance Currency]])</f>
        <v>0</v>
      </c>
    </row>
    <row r="105" spans="1:3" x14ac:dyDescent="0.25">
      <c r="A105" s="45">
        <v>102</v>
      </c>
      <c r="B105" s="111"/>
      <c r="C105" s="142">
        <f>COUNTIF(tab_DebtIssuanceCurrency[Debt Issuance Currency],tab_DebtIssuanceCurrency[[#This Row],[Debt Issuance Currency]])</f>
        <v>0</v>
      </c>
    </row>
    <row r="106" spans="1:3" x14ac:dyDescent="0.25">
      <c r="A106" s="45">
        <v>103</v>
      </c>
      <c r="B106" s="111"/>
      <c r="C106" s="142">
        <f>COUNTIF(tab_DebtIssuanceCurrency[Debt Issuance Currency],tab_DebtIssuanceCurrency[[#This Row],[Debt Issuance Currency]])</f>
        <v>0</v>
      </c>
    </row>
    <row r="107" spans="1:3" x14ac:dyDescent="0.25">
      <c r="A107" s="45">
        <v>104</v>
      </c>
      <c r="B107" s="111"/>
      <c r="C107" s="142">
        <f>COUNTIF(tab_DebtIssuanceCurrency[Debt Issuance Currency],tab_DebtIssuanceCurrency[[#This Row],[Debt Issuance Currency]])</f>
        <v>0</v>
      </c>
    </row>
    <row r="108" spans="1:3" x14ac:dyDescent="0.25">
      <c r="A108" s="45">
        <v>105</v>
      </c>
      <c r="B108" s="111"/>
      <c r="C108" s="142">
        <f>COUNTIF(tab_DebtIssuanceCurrency[Debt Issuance Currency],tab_DebtIssuanceCurrency[[#This Row],[Debt Issuance Currency]])</f>
        <v>0</v>
      </c>
    </row>
    <row r="109" spans="1:3" x14ac:dyDescent="0.25">
      <c r="A109" s="45">
        <v>106</v>
      </c>
      <c r="B109" s="111"/>
      <c r="C109" s="142">
        <f>COUNTIF(tab_DebtIssuanceCurrency[Debt Issuance Currency],tab_DebtIssuanceCurrency[[#This Row],[Debt Issuance Currency]])</f>
        <v>0</v>
      </c>
    </row>
    <row r="110" spans="1:3" x14ac:dyDescent="0.25">
      <c r="A110" s="45">
        <v>107</v>
      </c>
      <c r="B110" s="111"/>
      <c r="C110" s="142">
        <f>COUNTIF(tab_DebtIssuanceCurrency[Debt Issuance Currency],tab_DebtIssuanceCurrency[[#This Row],[Debt Issuance Currency]])</f>
        <v>0</v>
      </c>
    </row>
    <row r="111" spans="1:3" x14ac:dyDescent="0.25">
      <c r="A111" s="45">
        <v>108</v>
      </c>
      <c r="B111" s="111"/>
      <c r="C111" s="142">
        <f>COUNTIF(tab_DebtIssuanceCurrency[Debt Issuance Currency],tab_DebtIssuanceCurrency[[#This Row],[Debt Issuance Currency]])</f>
        <v>0</v>
      </c>
    </row>
    <row r="112" spans="1:3" x14ac:dyDescent="0.25">
      <c r="A112" s="45">
        <v>109</v>
      </c>
      <c r="B112" s="111"/>
      <c r="C112" s="142">
        <f>COUNTIF(tab_DebtIssuanceCurrency[Debt Issuance Currency],tab_DebtIssuanceCurrency[[#This Row],[Debt Issuance Currency]])</f>
        <v>0</v>
      </c>
    </row>
    <row r="113" spans="1:3" x14ac:dyDescent="0.25">
      <c r="A113" s="45">
        <v>110</v>
      </c>
      <c r="B113" s="111"/>
      <c r="C113" s="142">
        <f>COUNTIF(tab_DebtIssuanceCurrency[Debt Issuance Currency],tab_DebtIssuanceCurrency[[#This Row],[Debt Issuance Currency]])</f>
        <v>0</v>
      </c>
    </row>
    <row r="114" spans="1:3" x14ac:dyDescent="0.25">
      <c r="A114" s="45">
        <v>111</v>
      </c>
      <c r="B114" s="111"/>
      <c r="C114" s="142">
        <f>COUNTIF(tab_DebtIssuanceCurrency[Debt Issuance Currency],tab_DebtIssuanceCurrency[[#This Row],[Debt Issuance Currency]])</f>
        <v>0</v>
      </c>
    </row>
    <row r="115" spans="1:3" x14ac:dyDescent="0.25">
      <c r="A115" s="45">
        <v>112</v>
      </c>
      <c r="B115" s="111"/>
      <c r="C115" s="142">
        <f>COUNTIF(tab_DebtIssuanceCurrency[Debt Issuance Currency],tab_DebtIssuanceCurrency[[#This Row],[Debt Issuance Currency]])</f>
        <v>0</v>
      </c>
    </row>
    <row r="116" spans="1:3" x14ac:dyDescent="0.25">
      <c r="A116" s="45">
        <v>113</v>
      </c>
      <c r="B116" s="111"/>
      <c r="C116" s="142">
        <f>COUNTIF(tab_DebtIssuanceCurrency[Debt Issuance Currency],tab_DebtIssuanceCurrency[[#This Row],[Debt Issuance Currency]])</f>
        <v>0</v>
      </c>
    </row>
    <row r="117" spans="1:3" x14ac:dyDescent="0.25">
      <c r="A117" s="45">
        <v>114</v>
      </c>
      <c r="B117" s="111"/>
      <c r="C117" s="142">
        <f>COUNTIF(tab_DebtIssuanceCurrency[Debt Issuance Currency],tab_DebtIssuanceCurrency[[#This Row],[Debt Issuance Currency]])</f>
        <v>0</v>
      </c>
    </row>
    <row r="118" spans="1:3" x14ac:dyDescent="0.25">
      <c r="A118" s="45">
        <v>115</v>
      </c>
      <c r="B118" s="111"/>
      <c r="C118" s="142">
        <f>COUNTIF(tab_DebtIssuanceCurrency[Debt Issuance Currency],tab_DebtIssuanceCurrency[[#This Row],[Debt Issuance Currency]])</f>
        <v>0</v>
      </c>
    </row>
    <row r="119" spans="1:3" x14ac:dyDescent="0.25">
      <c r="A119" s="45">
        <v>116</v>
      </c>
      <c r="B119" s="111"/>
      <c r="C119" s="142">
        <f>COUNTIF(tab_DebtIssuanceCurrency[Debt Issuance Currency],tab_DebtIssuanceCurrency[[#This Row],[Debt Issuance Currency]])</f>
        <v>0</v>
      </c>
    </row>
    <row r="120" spans="1:3" x14ac:dyDescent="0.25">
      <c r="A120" s="45">
        <v>117</v>
      </c>
      <c r="B120" s="111"/>
      <c r="C120" s="142">
        <f>COUNTIF(tab_DebtIssuanceCurrency[Debt Issuance Currency],tab_DebtIssuanceCurrency[[#This Row],[Debt Issuance Currency]])</f>
        <v>0</v>
      </c>
    </row>
    <row r="121" spans="1:3" x14ac:dyDescent="0.25">
      <c r="A121" s="45">
        <v>118</v>
      </c>
      <c r="B121" s="111"/>
      <c r="C121" s="142">
        <f>COUNTIF(tab_DebtIssuanceCurrency[Debt Issuance Currency],tab_DebtIssuanceCurrency[[#This Row],[Debt Issuance Currency]])</f>
        <v>0</v>
      </c>
    </row>
    <row r="122" spans="1:3" x14ac:dyDescent="0.25">
      <c r="A122" s="45">
        <v>119</v>
      </c>
      <c r="B122" s="111"/>
      <c r="C122" s="142">
        <f>COUNTIF(tab_DebtIssuanceCurrency[Debt Issuance Currency],tab_DebtIssuanceCurrency[[#This Row],[Debt Issuance Currency]])</f>
        <v>0</v>
      </c>
    </row>
    <row r="123" spans="1:3" x14ac:dyDescent="0.25">
      <c r="A123" s="45">
        <v>120</v>
      </c>
      <c r="B123" s="111"/>
      <c r="C123" s="142">
        <f>COUNTIF(tab_DebtIssuanceCurrency[Debt Issuance Currency],tab_DebtIssuanceCurrency[[#This Row],[Debt Issuance Currency]])</f>
        <v>0</v>
      </c>
    </row>
    <row r="124" spans="1:3" x14ac:dyDescent="0.25">
      <c r="A124" s="45">
        <v>121</v>
      </c>
      <c r="B124" s="111"/>
      <c r="C124" s="142">
        <f>COUNTIF(tab_DebtIssuanceCurrency[Debt Issuance Currency],tab_DebtIssuanceCurrency[[#This Row],[Debt Issuance Currency]])</f>
        <v>0</v>
      </c>
    </row>
    <row r="125" spans="1:3" x14ac:dyDescent="0.25">
      <c r="A125" s="45">
        <v>122</v>
      </c>
      <c r="B125" s="111"/>
      <c r="C125" s="142">
        <f>COUNTIF(tab_DebtIssuanceCurrency[Debt Issuance Currency],tab_DebtIssuanceCurrency[[#This Row],[Debt Issuance Currency]])</f>
        <v>0</v>
      </c>
    </row>
    <row r="126" spans="1:3" x14ac:dyDescent="0.25">
      <c r="A126" s="45">
        <v>123</v>
      </c>
      <c r="B126" s="111"/>
      <c r="C126" s="142">
        <f>COUNTIF(tab_DebtIssuanceCurrency[Debt Issuance Currency],tab_DebtIssuanceCurrency[[#This Row],[Debt Issuance Currency]])</f>
        <v>0</v>
      </c>
    </row>
    <row r="127" spans="1:3" x14ac:dyDescent="0.25">
      <c r="A127" s="45">
        <v>124</v>
      </c>
      <c r="B127" s="111"/>
      <c r="C127" s="142">
        <f>COUNTIF(tab_DebtIssuanceCurrency[Debt Issuance Currency],tab_DebtIssuanceCurrency[[#This Row],[Debt Issuance Currency]])</f>
        <v>0</v>
      </c>
    </row>
    <row r="128" spans="1:3" x14ac:dyDescent="0.25">
      <c r="A128" s="45">
        <v>125</v>
      </c>
      <c r="B128" s="111"/>
      <c r="C128" s="142">
        <f>COUNTIF(tab_DebtIssuanceCurrency[Debt Issuance Currency],tab_DebtIssuanceCurrency[[#This Row],[Debt Issuance Currency]])</f>
        <v>0</v>
      </c>
    </row>
    <row r="129" spans="1:3" x14ac:dyDescent="0.25">
      <c r="A129" s="45">
        <v>126</v>
      </c>
      <c r="B129" s="111"/>
      <c r="C129" s="142">
        <f>COUNTIF(tab_DebtIssuanceCurrency[Debt Issuance Currency],tab_DebtIssuanceCurrency[[#This Row],[Debt Issuance Currency]])</f>
        <v>0</v>
      </c>
    </row>
    <row r="130" spans="1:3" x14ac:dyDescent="0.25">
      <c r="A130" s="45">
        <v>127</v>
      </c>
      <c r="B130" s="111"/>
      <c r="C130" s="142">
        <f>COUNTIF(tab_DebtIssuanceCurrency[Debt Issuance Currency],tab_DebtIssuanceCurrency[[#This Row],[Debt Issuance Currency]])</f>
        <v>0</v>
      </c>
    </row>
    <row r="131" spans="1:3" x14ac:dyDescent="0.25">
      <c r="A131" s="45">
        <v>128</v>
      </c>
      <c r="B131" s="111"/>
      <c r="C131" s="142">
        <f>COUNTIF(tab_DebtIssuanceCurrency[Debt Issuance Currency],tab_DebtIssuanceCurrency[[#This Row],[Debt Issuance Currency]])</f>
        <v>0</v>
      </c>
    </row>
    <row r="132" spans="1:3" x14ac:dyDescent="0.25">
      <c r="A132" s="45">
        <v>129</v>
      </c>
      <c r="B132" s="111"/>
      <c r="C132" s="142">
        <f>COUNTIF(tab_DebtIssuanceCurrency[Debt Issuance Currency],tab_DebtIssuanceCurrency[[#This Row],[Debt Issuance Currency]])</f>
        <v>0</v>
      </c>
    </row>
    <row r="133" spans="1:3" x14ac:dyDescent="0.25">
      <c r="A133" s="45">
        <v>130</v>
      </c>
      <c r="B133" s="111"/>
      <c r="C133" s="142">
        <f>COUNTIF(tab_DebtIssuanceCurrency[Debt Issuance Currency],tab_DebtIssuanceCurrency[[#This Row],[Debt Issuance Currency]])</f>
        <v>0</v>
      </c>
    </row>
    <row r="134" spans="1:3" x14ac:dyDescent="0.25">
      <c r="A134" s="45">
        <v>131</v>
      </c>
      <c r="B134" s="111"/>
      <c r="C134" s="142">
        <f>COUNTIF(tab_DebtIssuanceCurrency[Debt Issuance Currency],tab_DebtIssuanceCurrency[[#This Row],[Debt Issuance Currency]])</f>
        <v>0</v>
      </c>
    </row>
    <row r="135" spans="1:3" x14ac:dyDescent="0.25">
      <c r="A135" s="45">
        <v>132</v>
      </c>
      <c r="B135" s="111"/>
      <c r="C135" s="142">
        <f>COUNTIF(tab_DebtIssuanceCurrency[Debt Issuance Currency],tab_DebtIssuanceCurrency[[#This Row],[Debt Issuance Currency]])</f>
        <v>0</v>
      </c>
    </row>
    <row r="136" spans="1:3" x14ac:dyDescent="0.25">
      <c r="A136" s="45">
        <v>133</v>
      </c>
      <c r="B136" s="111"/>
      <c r="C136" s="142">
        <f>COUNTIF(tab_DebtIssuanceCurrency[Debt Issuance Currency],tab_DebtIssuanceCurrency[[#This Row],[Debt Issuance Currency]])</f>
        <v>0</v>
      </c>
    </row>
    <row r="137" spans="1:3" x14ac:dyDescent="0.25">
      <c r="A137" s="45">
        <v>134</v>
      </c>
      <c r="B137" s="111"/>
      <c r="C137" s="142">
        <f>COUNTIF(tab_DebtIssuanceCurrency[Debt Issuance Currency],tab_DebtIssuanceCurrency[[#This Row],[Debt Issuance Currency]])</f>
        <v>0</v>
      </c>
    </row>
    <row r="138" spans="1:3" x14ac:dyDescent="0.25">
      <c r="A138" s="45">
        <v>135</v>
      </c>
      <c r="B138" s="111"/>
      <c r="C138" s="142">
        <f>COUNTIF(tab_DebtIssuanceCurrency[Debt Issuance Currency],tab_DebtIssuanceCurrency[[#This Row],[Debt Issuance Currency]])</f>
        <v>0</v>
      </c>
    </row>
    <row r="139" spans="1:3" x14ac:dyDescent="0.25">
      <c r="A139" s="45">
        <v>136</v>
      </c>
      <c r="B139" s="111"/>
      <c r="C139" s="142">
        <f>COUNTIF(tab_DebtIssuanceCurrency[Debt Issuance Currency],tab_DebtIssuanceCurrency[[#This Row],[Debt Issuance Currency]])</f>
        <v>0</v>
      </c>
    </row>
    <row r="140" spans="1:3" x14ac:dyDescent="0.25">
      <c r="A140" s="45">
        <v>137</v>
      </c>
      <c r="B140" s="111"/>
      <c r="C140" s="142">
        <f>COUNTIF(tab_DebtIssuanceCurrency[Debt Issuance Currency],tab_DebtIssuanceCurrency[[#This Row],[Debt Issuance Currency]])</f>
        <v>0</v>
      </c>
    </row>
    <row r="141" spans="1:3" x14ac:dyDescent="0.25">
      <c r="A141" s="45">
        <v>138</v>
      </c>
      <c r="B141" s="111"/>
      <c r="C141" s="142">
        <f>COUNTIF(tab_DebtIssuanceCurrency[Debt Issuance Currency],tab_DebtIssuanceCurrency[[#This Row],[Debt Issuance Currency]])</f>
        <v>0</v>
      </c>
    </row>
    <row r="142" spans="1:3" x14ac:dyDescent="0.25">
      <c r="A142" s="45">
        <v>139</v>
      </c>
      <c r="B142" s="111"/>
      <c r="C142" s="142">
        <f>COUNTIF(tab_DebtIssuanceCurrency[Debt Issuance Currency],tab_DebtIssuanceCurrency[[#This Row],[Debt Issuance Currency]])</f>
        <v>0</v>
      </c>
    </row>
    <row r="143" spans="1:3" x14ac:dyDescent="0.25">
      <c r="A143" s="45">
        <v>140</v>
      </c>
      <c r="B143" s="111"/>
      <c r="C143" s="142">
        <f>COUNTIF(tab_DebtIssuanceCurrency[Debt Issuance Currency],tab_DebtIssuanceCurrency[[#This Row],[Debt Issuance Currency]])</f>
        <v>0</v>
      </c>
    </row>
    <row r="144" spans="1:3" x14ac:dyDescent="0.25">
      <c r="A144" s="45">
        <v>141</v>
      </c>
      <c r="B144" s="111"/>
      <c r="C144" s="142">
        <f>COUNTIF(tab_DebtIssuanceCurrency[Debt Issuance Currency],tab_DebtIssuanceCurrency[[#This Row],[Debt Issuance Currency]])</f>
        <v>0</v>
      </c>
    </row>
    <row r="145" spans="1:3" x14ac:dyDescent="0.25">
      <c r="A145" s="45">
        <v>142</v>
      </c>
      <c r="B145" s="111"/>
      <c r="C145" s="142">
        <f>COUNTIF(tab_DebtIssuanceCurrency[Debt Issuance Currency],tab_DebtIssuanceCurrency[[#This Row],[Debt Issuance Currency]])</f>
        <v>0</v>
      </c>
    </row>
    <row r="146" spans="1:3" x14ac:dyDescent="0.25">
      <c r="A146" s="45">
        <v>143</v>
      </c>
      <c r="B146" s="111"/>
      <c r="C146" s="142">
        <f>COUNTIF(tab_DebtIssuanceCurrency[Debt Issuance Currency],tab_DebtIssuanceCurrency[[#This Row],[Debt Issuance Currency]])</f>
        <v>0</v>
      </c>
    </row>
    <row r="147" spans="1:3" x14ac:dyDescent="0.25">
      <c r="A147" s="45">
        <v>144</v>
      </c>
      <c r="B147" s="111"/>
      <c r="C147" s="142">
        <f>COUNTIF(tab_DebtIssuanceCurrency[Debt Issuance Currency],tab_DebtIssuanceCurrency[[#This Row],[Debt Issuance Currency]])</f>
        <v>0</v>
      </c>
    </row>
    <row r="148" spans="1:3" x14ac:dyDescent="0.25">
      <c r="A148" s="45">
        <v>145</v>
      </c>
      <c r="B148" s="111"/>
      <c r="C148" s="142">
        <f>COUNTIF(tab_DebtIssuanceCurrency[Debt Issuance Currency],tab_DebtIssuanceCurrency[[#This Row],[Debt Issuance Currency]])</f>
        <v>0</v>
      </c>
    </row>
    <row r="149" spans="1:3" x14ac:dyDescent="0.25">
      <c r="A149" s="45">
        <v>146</v>
      </c>
      <c r="B149" s="111"/>
      <c r="C149" s="142">
        <f>COUNTIF(tab_DebtIssuanceCurrency[Debt Issuance Currency],tab_DebtIssuanceCurrency[[#This Row],[Debt Issuance Currency]])</f>
        <v>0</v>
      </c>
    </row>
    <row r="150" spans="1:3" x14ac:dyDescent="0.25">
      <c r="A150" s="45">
        <v>147</v>
      </c>
      <c r="B150" s="111"/>
      <c r="C150" s="142">
        <f>COUNTIF(tab_DebtIssuanceCurrency[Debt Issuance Currency],tab_DebtIssuanceCurrency[[#This Row],[Debt Issuance Currency]])</f>
        <v>0</v>
      </c>
    </row>
    <row r="151" spans="1:3" x14ac:dyDescent="0.25">
      <c r="A151" s="45">
        <v>148</v>
      </c>
      <c r="B151" s="111"/>
      <c r="C151" s="142">
        <f>COUNTIF(tab_DebtIssuanceCurrency[Debt Issuance Currency],tab_DebtIssuanceCurrency[[#This Row],[Debt Issuance Currency]])</f>
        <v>0</v>
      </c>
    </row>
    <row r="152" spans="1:3" x14ac:dyDescent="0.25">
      <c r="A152" s="45">
        <v>149</v>
      </c>
      <c r="B152" s="111"/>
      <c r="C152" s="142">
        <f>COUNTIF(tab_DebtIssuanceCurrency[Debt Issuance Currency],tab_DebtIssuanceCurrency[[#This Row],[Debt Issuance Currency]])</f>
        <v>0</v>
      </c>
    </row>
    <row r="153" spans="1:3" x14ac:dyDescent="0.25">
      <c r="A153" s="45">
        <v>150</v>
      </c>
      <c r="B153" s="111"/>
      <c r="C153" s="142">
        <f>COUNTIF(tab_DebtIssuanceCurrency[Debt Issuance Currency],tab_DebtIssuanceCurrency[[#This Row],[Debt Issuance Currency]])</f>
        <v>0</v>
      </c>
    </row>
    <row r="154" spans="1:3" x14ac:dyDescent="0.25">
      <c r="A154" s="45">
        <v>151</v>
      </c>
      <c r="B154" s="111"/>
      <c r="C154" s="142">
        <f>COUNTIF(tab_DebtIssuanceCurrency[Debt Issuance Currency],tab_DebtIssuanceCurrency[[#This Row],[Debt Issuance Currency]])</f>
        <v>0</v>
      </c>
    </row>
    <row r="155" spans="1:3" x14ac:dyDescent="0.25">
      <c r="A155" s="45">
        <v>152</v>
      </c>
      <c r="B155" s="111"/>
      <c r="C155" s="142">
        <f>COUNTIF(tab_DebtIssuanceCurrency[Debt Issuance Currency],tab_DebtIssuanceCurrency[[#This Row],[Debt Issuance Currency]])</f>
        <v>0</v>
      </c>
    </row>
    <row r="156" spans="1:3" x14ac:dyDescent="0.25">
      <c r="A156" s="45">
        <v>153</v>
      </c>
      <c r="B156" s="111"/>
      <c r="C156" s="142">
        <f>COUNTIF(tab_DebtIssuanceCurrency[Debt Issuance Currency],tab_DebtIssuanceCurrency[[#This Row],[Debt Issuance Currency]])</f>
        <v>0</v>
      </c>
    </row>
    <row r="157" spans="1:3" x14ac:dyDescent="0.25">
      <c r="A157" s="45">
        <v>154</v>
      </c>
      <c r="B157" s="111"/>
      <c r="C157" s="142">
        <f>COUNTIF(tab_DebtIssuanceCurrency[Debt Issuance Currency],tab_DebtIssuanceCurrency[[#This Row],[Debt Issuance Currency]])</f>
        <v>0</v>
      </c>
    </row>
    <row r="158" spans="1:3" x14ac:dyDescent="0.25">
      <c r="A158" s="45">
        <v>155</v>
      </c>
      <c r="B158" s="111"/>
      <c r="C158" s="142">
        <f>COUNTIF(tab_DebtIssuanceCurrency[Debt Issuance Currency],tab_DebtIssuanceCurrency[[#This Row],[Debt Issuance Currency]])</f>
        <v>0</v>
      </c>
    </row>
    <row r="159" spans="1:3" x14ac:dyDescent="0.25">
      <c r="A159" s="45">
        <v>156</v>
      </c>
      <c r="B159" s="111"/>
      <c r="C159" s="142">
        <f>COUNTIF(tab_DebtIssuanceCurrency[Debt Issuance Currency],tab_DebtIssuanceCurrency[[#This Row],[Debt Issuance Currency]])</f>
        <v>0</v>
      </c>
    </row>
    <row r="160" spans="1:3" x14ac:dyDescent="0.25">
      <c r="A160" s="45">
        <v>157</v>
      </c>
      <c r="B160" s="111"/>
      <c r="C160" s="142">
        <f>COUNTIF(tab_DebtIssuanceCurrency[Debt Issuance Currency],tab_DebtIssuanceCurrency[[#This Row],[Debt Issuance Currency]])</f>
        <v>0</v>
      </c>
    </row>
    <row r="161" spans="1:3" x14ac:dyDescent="0.25">
      <c r="A161" s="45">
        <v>158</v>
      </c>
      <c r="B161" s="111"/>
      <c r="C161" s="142">
        <f>COUNTIF(tab_DebtIssuanceCurrency[Debt Issuance Currency],tab_DebtIssuanceCurrency[[#This Row],[Debt Issuance Currency]])</f>
        <v>0</v>
      </c>
    </row>
    <row r="162" spans="1:3" x14ac:dyDescent="0.25">
      <c r="A162" s="45">
        <v>159</v>
      </c>
      <c r="B162" s="111"/>
      <c r="C162" s="142">
        <f>COUNTIF(tab_DebtIssuanceCurrency[Debt Issuance Currency],tab_DebtIssuanceCurrency[[#This Row],[Debt Issuance Currency]])</f>
        <v>0</v>
      </c>
    </row>
    <row r="163" spans="1:3" x14ac:dyDescent="0.25">
      <c r="A163" s="45">
        <v>160</v>
      </c>
      <c r="B163" s="111"/>
      <c r="C163" s="142">
        <f>COUNTIF(tab_DebtIssuanceCurrency[Debt Issuance Currency],tab_DebtIssuanceCurrency[[#This Row],[Debt Issuance Currency]])</f>
        <v>0</v>
      </c>
    </row>
    <row r="164" spans="1:3" x14ac:dyDescent="0.25">
      <c r="A164" s="45">
        <v>161</v>
      </c>
      <c r="B164" s="111"/>
      <c r="C164" s="142">
        <f>COUNTIF(tab_DebtIssuanceCurrency[Debt Issuance Currency],tab_DebtIssuanceCurrency[[#This Row],[Debt Issuance Currency]])</f>
        <v>0</v>
      </c>
    </row>
    <row r="165" spans="1:3" x14ac:dyDescent="0.25">
      <c r="A165" s="45">
        <v>162</v>
      </c>
      <c r="B165" s="111"/>
      <c r="C165" s="142">
        <f>COUNTIF(tab_DebtIssuanceCurrency[Debt Issuance Currency],tab_DebtIssuanceCurrency[[#This Row],[Debt Issuance Currency]])</f>
        <v>0</v>
      </c>
    </row>
    <row r="166" spans="1:3" x14ac:dyDescent="0.25">
      <c r="A166" s="45">
        <v>163</v>
      </c>
      <c r="B166" s="111"/>
      <c r="C166" s="142">
        <f>COUNTIF(tab_DebtIssuanceCurrency[Debt Issuance Currency],tab_DebtIssuanceCurrency[[#This Row],[Debt Issuance Currency]])</f>
        <v>0</v>
      </c>
    </row>
    <row r="167" spans="1:3" x14ac:dyDescent="0.25">
      <c r="A167" s="45">
        <v>164</v>
      </c>
      <c r="B167" s="111"/>
      <c r="C167" s="142">
        <f>COUNTIF(tab_DebtIssuanceCurrency[Debt Issuance Currency],tab_DebtIssuanceCurrency[[#This Row],[Debt Issuance Currency]])</f>
        <v>0</v>
      </c>
    </row>
    <row r="168" spans="1:3" ht="15.75" thickBot="1" x14ac:dyDescent="0.3">
      <c r="A168" s="46">
        <v>165</v>
      </c>
      <c r="B168" s="112"/>
      <c r="C168" s="143">
        <f>COUNTIF(tab_DebtIssuanceCurrency[Debt Issuance Currency],tab_DebtIssuanceCurrency[[#This Row],[Debt Issuance Currency]])</f>
        <v>0</v>
      </c>
    </row>
  </sheetData>
  <sheetProtection algorithmName="SHA-512" hashValue="VnTkk3lEZXKAS8WBIAAQ4u3hiu+7SpeVFCNWJr6tTibwDaBD40+ngJZJIdqm0yXN4fhFIA4Uz86X9/ErQ4M7cQ==" saltValue="dpTay+Q4lNuXlQd5oNsEeA==" spinCount="100000" sheet="1" objects="1" scenarios="1" sort="0" autoFilter="0"/>
  <conditionalFormatting sqref="B4:B168">
    <cfRule type="expression" dxfId="12" priority="19">
      <formula>AND(NOT(ISBLANK($B4)),COUNTIF(lis_Currency,$B4)=0)</formula>
    </cfRule>
    <cfRule type="duplicateValues" dxfId="11" priority="20"/>
  </conditionalFormatting>
  <conditionalFormatting sqref="C4:C168">
    <cfRule type="cellIs" dxfId="10" priority="1" operator="equal">
      <formula>0</formula>
    </cfRule>
    <cfRule type="cellIs" dxfId="9" priority="2" operator="equal">
      <formula>1</formula>
    </cfRule>
    <cfRule type="cellIs" dxfId="8" priority="5" operator="greaterThan">
      <formula>1</formula>
    </cfRule>
  </conditionalFormatting>
  <dataValidations count="1">
    <dataValidation type="list" allowBlank="1" showInputMessage="1" showErrorMessage="1" sqref="B4:B168">
      <formula1>lis_Currency</formula1>
    </dataValidation>
  </dataValidations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  <pageSetUpPr autoPageBreaks="0"/>
  </sheetPr>
  <dimension ref="A1:Y250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5"/>
  <cols>
    <col min="1" max="1" width="4.140625" style="134" bestFit="1" customWidth="1"/>
    <col min="2" max="2" width="8.42578125" style="133" bestFit="1" customWidth="1"/>
    <col min="3" max="3" width="18" style="133" bestFit="1" customWidth="1"/>
    <col min="4" max="4" width="31.7109375" style="133" bestFit="1" customWidth="1"/>
    <col min="5" max="5" width="24.5703125" style="133" bestFit="1" customWidth="1"/>
    <col min="6" max="6" width="8.7109375" style="133" bestFit="1" customWidth="1"/>
    <col min="7" max="7" width="17.140625" style="133" bestFit="1" customWidth="1"/>
    <col min="8" max="8" width="26.28515625" style="133" bestFit="1" customWidth="1"/>
    <col min="9" max="9" width="31.28515625" style="133" bestFit="1" customWidth="1"/>
    <col min="10" max="10" width="24.28515625" style="133" bestFit="1" customWidth="1"/>
    <col min="11" max="11" width="32.28515625" style="133" bestFit="1" customWidth="1"/>
    <col min="12" max="12" width="33.140625" style="133" bestFit="1" customWidth="1"/>
    <col min="13" max="13" width="29.5703125" style="135" bestFit="1" customWidth="1"/>
    <col min="14" max="14" width="42.42578125" style="135" bestFit="1" customWidth="1"/>
    <col min="15" max="15" width="25.5703125" style="135" bestFit="1" customWidth="1"/>
    <col min="16" max="16" width="55.7109375" style="133" bestFit="1" customWidth="1"/>
    <col min="17" max="17" width="39.28515625" style="133" bestFit="1" customWidth="1"/>
    <col min="18" max="18" width="32.28515625" style="133" bestFit="1" customWidth="1"/>
    <col min="19" max="19" width="70.7109375" style="133" bestFit="1" customWidth="1"/>
    <col min="20" max="20" width="38" style="133" bestFit="1" customWidth="1"/>
    <col min="21" max="21" width="36.140625" style="133" bestFit="1" customWidth="1"/>
    <col min="22" max="22" width="21.5703125" style="133" bestFit="1" customWidth="1"/>
    <col min="23" max="23" width="38.85546875" style="133" bestFit="1" customWidth="1"/>
    <col min="24" max="24" width="32.5703125" style="133" bestFit="1" customWidth="1"/>
    <col min="25" max="25" width="16.28515625" style="124" bestFit="1" customWidth="1"/>
    <col min="26" max="16384" width="9.140625" style="124"/>
  </cols>
  <sheetData>
    <row r="1" spans="1:25" ht="21" customHeight="1" x14ac:dyDescent="0.25">
      <c r="A1" s="121" t="s">
        <v>500</v>
      </c>
      <c r="B1" s="122" t="s">
        <v>580</v>
      </c>
      <c r="C1" s="122" t="s">
        <v>508</v>
      </c>
      <c r="D1" s="122" t="s">
        <v>465</v>
      </c>
      <c r="E1" s="122" t="s">
        <v>451</v>
      </c>
      <c r="F1" s="122" t="s">
        <v>758</v>
      </c>
      <c r="G1" s="122" t="s">
        <v>1276</v>
      </c>
      <c r="H1" s="122" t="s">
        <v>1277</v>
      </c>
      <c r="I1" s="122" t="s">
        <v>516</v>
      </c>
      <c r="J1" s="122" t="s">
        <v>448</v>
      </c>
      <c r="K1" s="122" t="s">
        <v>520</v>
      </c>
      <c r="L1" s="122" t="s">
        <v>521</v>
      </c>
      <c r="M1" s="123" t="s">
        <v>756</v>
      </c>
      <c r="N1" s="122" t="s">
        <v>581</v>
      </c>
      <c r="O1" s="122" t="s">
        <v>582</v>
      </c>
      <c r="P1" s="122" t="s">
        <v>583</v>
      </c>
      <c r="Q1" s="122" t="s">
        <v>491</v>
      </c>
      <c r="R1" s="122" t="s">
        <v>584</v>
      </c>
      <c r="S1" s="122" t="s">
        <v>563</v>
      </c>
      <c r="T1" s="122" t="s">
        <v>504</v>
      </c>
      <c r="U1" s="122" t="s">
        <v>757</v>
      </c>
      <c r="V1" s="122" t="s">
        <v>577</v>
      </c>
      <c r="W1" s="122" t="s">
        <v>0</v>
      </c>
      <c r="X1" s="122" t="s">
        <v>1</v>
      </c>
      <c r="Y1" s="122" t="s">
        <v>1393</v>
      </c>
    </row>
    <row r="2" spans="1:25" ht="10.5" customHeight="1" x14ac:dyDescent="0.25">
      <c r="A2" s="121">
        <v>1</v>
      </c>
      <c r="B2" s="125" t="s">
        <v>454</v>
      </c>
      <c r="C2" s="125" t="s">
        <v>509</v>
      </c>
      <c r="D2" s="125" t="s">
        <v>536</v>
      </c>
      <c r="E2" s="125" t="s">
        <v>483</v>
      </c>
      <c r="F2" s="125" t="s">
        <v>789</v>
      </c>
      <c r="G2" s="125" t="s">
        <v>898</v>
      </c>
      <c r="H2" s="125" t="s">
        <v>899</v>
      </c>
      <c r="I2" s="125" t="s">
        <v>517</v>
      </c>
      <c r="J2" s="125" t="s">
        <v>4</v>
      </c>
      <c r="K2" s="125" t="s">
        <v>822</v>
      </c>
      <c r="L2" s="125" t="s">
        <v>523</v>
      </c>
      <c r="M2" s="125" t="s">
        <v>754</v>
      </c>
      <c r="N2" s="125" t="s">
        <v>537</v>
      </c>
      <c r="O2" s="125" t="s">
        <v>20</v>
      </c>
      <c r="P2" s="125" t="s">
        <v>21</v>
      </c>
      <c r="Q2" s="125" t="s">
        <v>449</v>
      </c>
      <c r="R2" s="125" t="s">
        <v>445</v>
      </c>
      <c r="S2" s="125" t="s">
        <v>875</v>
      </c>
      <c r="T2" s="125" t="s">
        <v>490</v>
      </c>
      <c r="U2" s="125" t="s">
        <v>567</v>
      </c>
      <c r="V2" s="125" t="s">
        <v>748</v>
      </c>
      <c r="W2" s="125" t="s">
        <v>286</v>
      </c>
      <c r="X2" s="125" t="s">
        <v>434</v>
      </c>
      <c r="Y2" s="125" t="s">
        <v>1358</v>
      </c>
    </row>
    <row r="3" spans="1:25" ht="10.5" customHeight="1" x14ac:dyDescent="0.25">
      <c r="A3" s="121">
        <v>2</v>
      </c>
      <c r="B3" s="125" t="s">
        <v>455</v>
      </c>
      <c r="C3" s="125" t="s">
        <v>510</v>
      </c>
      <c r="D3" s="125" t="s">
        <v>495</v>
      </c>
      <c r="E3" s="125" t="s">
        <v>477</v>
      </c>
      <c r="F3" s="125" t="s">
        <v>790</v>
      </c>
      <c r="G3" s="125" t="s">
        <v>900</v>
      </c>
      <c r="H3" s="125" t="s">
        <v>901</v>
      </c>
      <c r="I3" s="125" t="s">
        <v>518</v>
      </c>
      <c r="J3" s="125" t="s">
        <v>5</v>
      </c>
      <c r="K3" s="125" t="s">
        <v>821</v>
      </c>
      <c r="L3" s="125" t="s">
        <v>524</v>
      </c>
      <c r="M3" s="125" t="s">
        <v>755</v>
      </c>
      <c r="N3" s="125" t="s">
        <v>540</v>
      </c>
      <c r="O3" s="125" t="s">
        <v>10</v>
      </c>
      <c r="P3" s="125" t="s">
        <v>22</v>
      </c>
      <c r="Q3" s="125" t="s">
        <v>450</v>
      </c>
      <c r="R3" s="125" t="s">
        <v>463</v>
      </c>
      <c r="S3" s="125" t="s">
        <v>876</v>
      </c>
      <c r="T3" s="125" t="s">
        <v>9</v>
      </c>
      <c r="U3" s="125" t="s">
        <v>579</v>
      </c>
      <c r="V3" s="125" t="s">
        <v>747</v>
      </c>
      <c r="W3" s="125" t="s">
        <v>261</v>
      </c>
      <c r="X3" s="125" t="s">
        <v>435</v>
      </c>
      <c r="Y3" s="125" t="s">
        <v>1359</v>
      </c>
    </row>
    <row r="4" spans="1:25" ht="10.5" customHeight="1" x14ac:dyDescent="0.25">
      <c r="A4" s="121">
        <v>3</v>
      </c>
      <c r="B4" s="126"/>
      <c r="C4" s="125" t="s">
        <v>511</v>
      </c>
      <c r="D4" s="126"/>
      <c r="E4" s="125" t="s">
        <v>479</v>
      </c>
      <c r="F4" s="125" t="s">
        <v>792</v>
      </c>
      <c r="G4" s="125" t="s">
        <v>902</v>
      </c>
      <c r="H4" s="125" t="s">
        <v>903</v>
      </c>
      <c r="I4" s="126"/>
      <c r="J4" s="125" t="s">
        <v>6</v>
      </c>
      <c r="K4" s="126"/>
      <c r="L4" s="125" t="s">
        <v>525</v>
      </c>
      <c r="M4" s="127"/>
      <c r="N4" s="125" t="s">
        <v>538</v>
      </c>
      <c r="O4" s="125" t="s">
        <v>1394</v>
      </c>
      <c r="P4" s="125" t="s">
        <v>23</v>
      </c>
      <c r="Q4" s="126"/>
      <c r="R4" s="125" t="s">
        <v>464</v>
      </c>
      <c r="S4" s="125" t="s">
        <v>877</v>
      </c>
      <c r="T4" s="125" t="s">
        <v>7</v>
      </c>
      <c r="U4" s="125" t="s">
        <v>824</v>
      </c>
      <c r="V4" s="125" t="s">
        <v>746</v>
      </c>
      <c r="W4" s="125" t="s">
        <v>415</v>
      </c>
      <c r="X4" s="125" t="s">
        <v>442</v>
      </c>
      <c r="Y4" s="125" t="s">
        <v>1360</v>
      </c>
    </row>
    <row r="5" spans="1:25" ht="10.5" customHeight="1" x14ac:dyDescent="0.25">
      <c r="A5" s="121">
        <v>4</v>
      </c>
      <c r="B5" s="126"/>
      <c r="C5" s="125" t="s">
        <v>512</v>
      </c>
      <c r="D5" s="126"/>
      <c r="E5" s="125" t="s">
        <v>484</v>
      </c>
      <c r="F5" s="125" t="s">
        <v>791</v>
      </c>
      <c r="G5" s="125" t="s">
        <v>904</v>
      </c>
      <c r="H5" s="125" t="s">
        <v>905</v>
      </c>
      <c r="I5" s="126"/>
      <c r="J5" s="125" t="s">
        <v>7</v>
      </c>
      <c r="K5" s="126"/>
      <c r="L5" s="125" t="s">
        <v>526</v>
      </c>
      <c r="M5" s="128" t="str">
        <f>IF(ref_LegalEntityType=$D$2,$M$2,IF(ref_LegalEntityType=$D$3,$M$3,"'Legal Entity Type' not selected"))</f>
        <v>'Legal Entity Type' not selected</v>
      </c>
      <c r="N5" s="125" t="s">
        <v>539</v>
      </c>
      <c r="O5" s="125" t="s">
        <v>11</v>
      </c>
      <c r="P5" s="125" t="s">
        <v>98</v>
      </c>
      <c r="Q5" s="126"/>
      <c r="R5" s="125" t="s">
        <v>456</v>
      </c>
      <c r="S5" s="125" t="s">
        <v>878</v>
      </c>
      <c r="T5" s="125" t="s">
        <v>8</v>
      </c>
      <c r="U5" s="125" t="s">
        <v>568</v>
      </c>
      <c r="V5" s="125" t="s">
        <v>745</v>
      </c>
      <c r="W5" s="125" t="s">
        <v>197</v>
      </c>
      <c r="X5" s="125" t="s">
        <v>441</v>
      </c>
      <c r="Y5" s="125" t="s">
        <v>1361</v>
      </c>
    </row>
    <row r="6" spans="1:25" ht="10.5" customHeight="1" x14ac:dyDescent="0.25">
      <c r="A6" s="121">
        <v>5</v>
      </c>
      <c r="B6" s="126"/>
      <c r="C6" s="126"/>
      <c r="D6" s="126"/>
      <c r="E6" s="125" t="s">
        <v>474</v>
      </c>
      <c r="F6" s="125" t="s">
        <v>799</v>
      </c>
      <c r="G6" s="125" t="s">
        <v>906</v>
      </c>
      <c r="H6" s="125" t="s">
        <v>907</v>
      </c>
      <c r="I6" s="126"/>
      <c r="J6" s="126"/>
      <c r="K6" s="126"/>
      <c r="L6" s="125" t="s">
        <v>527</v>
      </c>
      <c r="M6" s="126"/>
      <c r="N6" s="125" t="s">
        <v>502</v>
      </c>
      <c r="O6" s="125" t="s">
        <v>507</v>
      </c>
      <c r="P6" s="125" t="s">
        <v>67</v>
      </c>
      <c r="Q6" s="126"/>
      <c r="R6" s="125" t="s">
        <v>458</v>
      </c>
      <c r="S6" s="125" t="s">
        <v>879</v>
      </c>
      <c r="T6" s="125" t="s">
        <v>488</v>
      </c>
      <c r="U6" s="125" t="s">
        <v>569</v>
      </c>
      <c r="V6" s="125" t="s">
        <v>744</v>
      </c>
      <c r="W6" s="125" t="s">
        <v>205</v>
      </c>
      <c r="X6" s="125" t="s">
        <v>438</v>
      </c>
      <c r="Y6" s="125" t="s">
        <v>1362</v>
      </c>
    </row>
    <row r="7" spans="1:25" ht="10.5" customHeight="1" x14ac:dyDescent="0.25">
      <c r="A7" s="121">
        <v>6</v>
      </c>
      <c r="B7" s="126"/>
      <c r="C7" s="126"/>
      <c r="D7" s="126"/>
      <c r="E7" s="125" t="s">
        <v>475</v>
      </c>
      <c r="F7" s="125" t="s">
        <v>793</v>
      </c>
      <c r="G7" s="125" t="s">
        <v>908</v>
      </c>
      <c r="H7" s="125" t="s">
        <v>909</v>
      </c>
      <c r="I7" s="126"/>
      <c r="J7" s="126"/>
      <c r="K7" s="126"/>
      <c r="L7" s="125" t="s">
        <v>528</v>
      </c>
      <c r="M7" s="126"/>
      <c r="N7" s="125" t="s">
        <v>501</v>
      </c>
      <c r="O7" s="125" t="s">
        <v>12</v>
      </c>
      <c r="P7" s="125" t="s">
        <v>134</v>
      </c>
      <c r="Q7" s="126"/>
      <c r="R7" s="125" t="s">
        <v>459</v>
      </c>
      <c r="S7" s="126"/>
      <c r="T7" s="125" t="s">
        <v>489</v>
      </c>
      <c r="U7" s="125" t="s">
        <v>570</v>
      </c>
      <c r="V7" s="125" t="s">
        <v>743</v>
      </c>
      <c r="W7" s="125" t="s">
        <v>239</v>
      </c>
      <c r="X7" s="125" t="s">
        <v>443</v>
      </c>
      <c r="Y7" s="125" t="s">
        <v>1363</v>
      </c>
    </row>
    <row r="8" spans="1:25" ht="10.5" customHeight="1" x14ac:dyDescent="0.25">
      <c r="A8" s="121">
        <v>7</v>
      </c>
      <c r="B8" s="126"/>
      <c r="C8" s="126"/>
      <c r="D8" s="126"/>
      <c r="E8" s="129" t="s">
        <v>473</v>
      </c>
      <c r="F8" s="125" t="s">
        <v>795</v>
      </c>
      <c r="G8" s="125" t="s">
        <v>910</v>
      </c>
      <c r="H8" s="125" t="s">
        <v>911</v>
      </c>
      <c r="I8" s="126"/>
      <c r="J8" s="126"/>
      <c r="K8" s="126"/>
      <c r="L8" s="125" t="s">
        <v>529</v>
      </c>
      <c r="M8" s="126"/>
      <c r="N8" s="125" t="s">
        <v>543</v>
      </c>
      <c r="O8" s="125" t="s">
        <v>13</v>
      </c>
      <c r="P8" s="125" t="s">
        <v>163</v>
      </c>
      <c r="Q8" s="126"/>
      <c r="R8" s="125" t="s">
        <v>462</v>
      </c>
      <c r="S8" s="126"/>
      <c r="T8" s="126"/>
      <c r="U8" s="125" t="s">
        <v>571</v>
      </c>
      <c r="V8" s="125" t="s">
        <v>742</v>
      </c>
      <c r="W8" s="125" t="s">
        <v>241</v>
      </c>
      <c r="X8" s="125" t="s">
        <v>437</v>
      </c>
      <c r="Y8" s="125" t="s">
        <v>1364</v>
      </c>
    </row>
    <row r="9" spans="1:25" ht="10.5" customHeight="1" x14ac:dyDescent="0.25">
      <c r="A9" s="121">
        <v>8</v>
      </c>
      <c r="B9" s="126"/>
      <c r="C9" s="126"/>
      <c r="D9" s="126"/>
      <c r="E9" s="129" t="s">
        <v>482</v>
      </c>
      <c r="F9" s="125" t="s">
        <v>796</v>
      </c>
      <c r="G9" s="125" t="s">
        <v>912</v>
      </c>
      <c r="H9" s="125" t="s">
        <v>913</v>
      </c>
      <c r="I9" s="126"/>
      <c r="J9" s="126"/>
      <c r="K9" s="126"/>
      <c r="L9" s="125" t="s">
        <v>894</v>
      </c>
      <c r="M9" s="126"/>
      <c r="N9" s="125" t="s">
        <v>544</v>
      </c>
      <c r="O9" s="125" t="s">
        <v>14</v>
      </c>
      <c r="P9" s="125" t="s">
        <v>142</v>
      </c>
      <c r="Q9" s="126"/>
      <c r="R9" s="125" t="s">
        <v>461</v>
      </c>
      <c r="S9" s="126"/>
      <c r="T9" s="126"/>
      <c r="U9" s="125" t="s">
        <v>572</v>
      </c>
      <c r="V9" s="125" t="s">
        <v>741</v>
      </c>
      <c r="W9" s="125" t="s">
        <v>248</v>
      </c>
      <c r="X9" s="125" t="s">
        <v>433</v>
      </c>
      <c r="Y9" s="125" t="s">
        <v>1383</v>
      </c>
    </row>
    <row r="10" spans="1:25" ht="10.5" customHeight="1" x14ac:dyDescent="0.25">
      <c r="A10" s="121">
        <v>9</v>
      </c>
      <c r="B10" s="126"/>
      <c r="C10" s="126"/>
      <c r="D10" s="126"/>
      <c r="E10" s="125" t="s">
        <v>476</v>
      </c>
      <c r="F10" s="125" t="s">
        <v>812</v>
      </c>
      <c r="G10" s="125" t="s">
        <v>914</v>
      </c>
      <c r="H10" s="125" t="s">
        <v>915</v>
      </c>
      <c r="I10" s="126"/>
      <c r="J10" s="126"/>
      <c r="K10" s="126"/>
      <c r="L10" s="125" t="s">
        <v>895</v>
      </c>
      <c r="M10" s="126"/>
      <c r="N10" s="125" t="s">
        <v>542</v>
      </c>
      <c r="O10" s="125" t="s">
        <v>15</v>
      </c>
      <c r="P10" s="125" t="s">
        <v>145</v>
      </c>
      <c r="Q10" s="126"/>
      <c r="R10" s="125" t="s">
        <v>457</v>
      </c>
      <c r="S10" s="126"/>
      <c r="T10" s="126"/>
      <c r="U10" s="125" t="s">
        <v>573</v>
      </c>
      <c r="V10" s="125" t="s">
        <v>740</v>
      </c>
      <c r="W10" s="125" t="s">
        <v>252</v>
      </c>
      <c r="X10" s="125" t="s">
        <v>432</v>
      </c>
      <c r="Y10" s="125" t="s">
        <v>1365</v>
      </c>
    </row>
    <row r="11" spans="1:25" ht="10.5" customHeight="1" x14ac:dyDescent="0.25">
      <c r="A11" s="121">
        <v>10</v>
      </c>
      <c r="B11" s="126"/>
      <c r="C11" s="126"/>
      <c r="D11" s="126"/>
      <c r="E11" s="125" t="s">
        <v>478</v>
      </c>
      <c r="F11" s="125" t="s">
        <v>794</v>
      </c>
      <c r="G11" s="125" t="s">
        <v>916</v>
      </c>
      <c r="H11" s="125" t="s">
        <v>917</v>
      </c>
      <c r="I11" s="126"/>
      <c r="J11" s="126"/>
      <c r="K11" s="126"/>
      <c r="L11" s="125" t="s">
        <v>530</v>
      </c>
      <c r="M11" s="126"/>
      <c r="N11" s="125" t="s">
        <v>545</v>
      </c>
      <c r="O11" s="125" t="s">
        <v>16</v>
      </c>
      <c r="P11" s="125" t="s">
        <v>25</v>
      </c>
      <c r="Q11" s="126"/>
      <c r="R11" s="125" t="s">
        <v>460</v>
      </c>
      <c r="S11" s="126"/>
      <c r="T11" s="126"/>
      <c r="U11" s="125" t="s">
        <v>574</v>
      </c>
      <c r="V11" s="125" t="s">
        <v>739</v>
      </c>
      <c r="W11" s="125" t="s">
        <v>254</v>
      </c>
      <c r="X11" s="125" t="s">
        <v>436</v>
      </c>
      <c r="Y11" s="125" t="s">
        <v>1366</v>
      </c>
    </row>
    <row r="12" spans="1:25" ht="10.5" customHeight="1" x14ac:dyDescent="0.25">
      <c r="A12" s="121">
        <v>11</v>
      </c>
      <c r="B12" s="126"/>
      <c r="C12" s="126"/>
      <c r="D12" s="126"/>
      <c r="E12" s="125" t="s">
        <v>472</v>
      </c>
      <c r="F12" s="125" t="s">
        <v>797</v>
      </c>
      <c r="G12" s="125" t="s">
        <v>918</v>
      </c>
      <c r="H12" s="125" t="s">
        <v>919</v>
      </c>
      <c r="I12" s="126"/>
      <c r="J12" s="126"/>
      <c r="K12" s="126"/>
      <c r="L12" s="130"/>
      <c r="M12" s="126"/>
      <c r="N12" s="125" t="s">
        <v>546</v>
      </c>
      <c r="O12" s="125" t="s">
        <v>1395</v>
      </c>
      <c r="P12" s="125" t="s">
        <v>131</v>
      </c>
      <c r="Q12" s="126"/>
      <c r="R12" s="125" t="s">
        <v>497</v>
      </c>
      <c r="S12" s="126"/>
      <c r="T12" s="126"/>
      <c r="U12" s="126"/>
      <c r="V12" s="125" t="s">
        <v>738</v>
      </c>
      <c r="W12" s="125" t="s">
        <v>259</v>
      </c>
      <c r="X12" s="125" t="s">
        <v>444</v>
      </c>
      <c r="Y12" s="125" t="s">
        <v>1367</v>
      </c>
    </row>
    <row r="13" spans="1:25" ht="10.5" customHeight="1" x14ac:dyDescent="0.25">
      <c r="A13" s="121">
        <v>12</v>
      </c>
      <c r="B13" s="126"/>
      <c r="C13" s="126"/>
      <c r="D13" s="126"/>
      <c r="E13" s="125" t="s">
        <v>485</v>
      </c>
      <c r="F13" s="125" t="s">
        <v>798</v>
      </c>
      <c r="G13" s="125" t="s">
        <v>920</v>
      </c>
      <c r="H13" s="125" t="s">
        <v>921</v>
      </c>
      <c r="I13" s="126"/>
      <c r="J13" s="126"/>
      <c r="K13" s="126"/>
      <c r="L13" s="126"/>
      <c r="M13" s="126"/>
      <c r="N13" s="125" t="s">
        <v>503</v>
      </c>
      <c r="O13" s="125" t="s">
        <v>506</v>
      </c>
      <c r="P13" s="125" t="s">
        <v>26</v>
      </c>
      <c r="Q13" s="126"/>
      <c r="R13" s="126"/>
      <c r="S13" s="126"/>
      <c r="T13" s="126"/>
      <c r="U13" s="126"/>
      <c r="V13" s="125" t="s">
        <v>737</v>
      </c>
      <c r="W13" s="125" t="s">
        <v>273</v>
      </c>
      <c r="X13" s="125" t="s">
        <v>439</v>
      </c>
      <c r="Y13" s="125" t="s">
        <v>1368</v>
      </c>
    </row>
    <row r="14" spans="1:25" ht="10.5" customHeight="1" x14ac:dyDescent="0.25">
      <c r="A14" s="121">
        <v>13</v>
      </c>
      <c r="B14" s="126"/>
      <c r="C14" s="126"/>
      <c r="D14" s="126"/>
      <c r="E14" s="125" t="s">
        <v>486</v>
      </c>
      <c r="F14" s="125" t="s">
        <v>800</v>
      </c>
      <c r="G14" s="125" t="s">
        <v>922</v>
      </c>
      <c r="H14" s="125" t="s">
        <v>923</v>
      </c>
      <c r="I14" s="126"/>
      <c r="J14" s="126"/>
      <c r="K14" s="126"/>
      <c r="L14" s="126"/>
      <c r="M14" s="126"/>
      <c r="N14" s="125" t="s">
        <v>19</v>
      </c>
      <c r="O14" s="125" t="s">
        <v>17</v>
      </c>
      <c r="P14" s="125" t="s">
        <v>27</v>
      </c>
      <c r="Q14" s="126"/>
      <c r="R14" s="126"/>
      <c r="S14" s="126"/>
      <c r="T14" s="126"/>
      <c r="U14" s="126"/>
      <c r="V14" s="125" t="s">
        <v>736</v>
      </c>
      <c r="W14" s="125" t="s">
        <v>294</v>
      </c>
      <c r="X14" s="125" t="s">
        <v>440</v>
      </c>
      <c r="Y14" s="125" t="s">
        <v>1384</v>
      </c>
    </row>
    <row r="15" spans="1:25" ht="10.5" customHeight="1" x14ac:dyDescent="0.25">
      <c r="A15" s="121">
        <v>14</v>
      </c>
      <c r="B15" s="126"/>
      <c r="C15" s="126"/>
      <c r="D15" s="126"/>
      <c r="E15" s="125" t="s">
        <v>480</v>
      </c>
      <c r="F15" s="125" t="s">
        <v>817</v>
      </c>
      <c r="G15" s="125" t="s">
        <v>924</v>
      </c>
      <c r="H15" s="125" t="s">
        <v>925</v>
      </c>
      <c r="I15" s="126"/>
      <c r="J15" s="126"/>
      <c r="K15" s="126"/>
      <c r="L15" s="126"/>
      <c r="M15" s="126"/>
      <c r="N15" s="125" t="s">
        <v>541</v>
      </c>
      <c r="O15" s="125" t="s">
        <v>18</v>
      </c>
      <c r="P15" s="125" t="s">
        <v>28</v>
      </c>
      <c r="Q15" s="126"/>
      <c r="R15" s="126"/>
      <c r="S15" s="126"/>
      <c r="T15" s="126"/>
      <c r="U15" s="126"/>
      <c r="V15" s="125" t="s">
        <v>735</v>
      </c>
      <c r="W15" s="125" t="s">
        <v>317</v>
      </c>
      <c r="X15" s="126"/>
    </row>
    <row r="16" spans="1:25" ht="10.5" customHeight="1" x14ac:dyDescent="0.25">
      <c r="A16" s="121">
        <v>15</v>
      </c>
      <c r="B16" s="126"/>
      <c r="C16" s="126"/>
      <c r="D16" s="126"/>
      <c r="E16" s="125" t="s">
        <v>481</v>
      </c>
      <c r="F16" s="125" t="s">
        <v>814</v>
      </c>
      <c r="G16" s="125" t="s">
        <v>926</v>
      </c>
      <c r="H16" s="125" t="s">
        <v>927</v>
      </c>
      <c r="I16" s="126"/>
      <c r="J16" s="126"/>
      <c r="K16" s="126"/>
      <c r="L16" s="126"/>
      <c r="M16" s="131"/>
      <c r="N16" s="125" t="s">
        <v>499</v>
      </c>
      <c r="O16" s="125" t="s">
        <v>19</v>
      </c>
      <c r="P16" s="125" t="s">
        <v>29</v>
      </c>
      <c r="Q16" s="126"/>
      <c r="R16" s="126"/>
      <c r="S16" s="126"/>
      <c r="T16" s="126"/>
      <c r="U16" s="126"/>
      <c r="V16" s="125" t="s">
        <v>734</v>
      </c>
      <c r="W16" s="125" t="s">
        <v>318</v>
      </c>
      <c r="X16" s="126"/>
    </row>
    <row r="17" spans="1:24" ht="10.5" customHeight="1" x14ac:dyDescent="0.25">
      <c r="A17" s="121">
        <v>16</v>
      </c>
      <c r="B17" s="126"/>
      <c r="C17" s="126"/>
      <c r="D17" s="126"/>
      <c r="E17" s="126"/>
      <c r="F17" s="125" t="s">
        <v>801</v>
      </c>
      <c r="G17" s="125" t="s">
        <v>928</v>
      </c>
      <c r="H17" s="125" t="s">
        <v>929</v>
      </c>
      <c r="I17" s="126"/>
      <c r="J17" s="126"/>
      <c r="K17" s="126"/>
      <c r="L17" s="126"/>
      <c r="M17" s="131"/>
      <c r="N17" s="125" t="s">
        <v>7</v>
      </c>
      <c r="O17" s="125" t="s">
        <v>7</v>
      </c>
      <c r="P17" s="125" t="s">
        <v>30</v>
      </c>
      <c r="Q17" s="126"/>
      <c r="R17" s="126"/>
      <c r="S17" s="126"/>
      <c r="T17" s="126"/>
      <c r="U17" s="126"/>
      <c r="V17" s="125" t="s">
        <v>733</v>
      </c>
      <c r="W17" s="125" t="s">
        <v>319</v>
      </c>
      <c r="X17" s="126"/>
    </row>
    <row r="18" spans="1:24" ht="10.5" customHeight="1" x14ac:dyDescent="0.25">
      <c r="A18" s="121">
        <v>17</v>
      </c>
      <c r="B18" s="126"/>
      <c r="C18" s="126"/>
      <c r="D18" s="126"/>
      <c r="E18" s="126"/>
      <c r="F18" s="125" t="s">
        <v>813</v>
      </c>
      <c r="G18" s="125" t="s">
        <v>930</v>
      </c>
      <c r="H18" s="125" t="s">
        <v>931</v>
      </c>
      <c r="I18" s="126"/>
      <c r="J18" s="126"/>
      <c r="K18" s="126"/>
      <c r="L18" s="126"/>
      <c r="M18" s="131"/>
      <c r="N18" s="127"/>
      <c r="P18" s="125" t="s">
        <v>31</v>
      </c>
      <c r="Q18" s="126"/>
      <c r="R18" s="126"/>
      <c r="S18" s="126"/>
      <c r="T18" s="126"/>
      <c r="U18" s="126"/>
      <c r="V18" s="125" t="s">
        <v>732</v>
      </c>
      <c r="W18" s="125" t="s">
        <v>335</v>
      </c>
      <c r="X18" s="126"/>
    </row>
    <row r="19" spans="1:24" ht="10.5" customHeight="1" x14ac:dyDescent="0.25">
      <c r="A19" s="121">
        <v>18</v>
      </c>
      <c r="B19" s="126"/>
      <c r="C19" s="126"/>
      <c r="D19" s="126"/>
      <c r="E19" s="126"/>
      <c r="F19" s="125" t="s">
        <v>816</v>
      </c>
      <c r="G19" s="125" t="s">
        <v>932</v>
      </c>
      <c r="H19" s="125" t="s">
        <v>933</v>
      </c>
      <c r="I19" s="126"/>
      <c r="J19" s="126"/>
      <c r="K19" s="126"/>
      <c r="L19" s="126"/>
      <c r="M19" s="131"/>
      <c r="N19" s="132"/>
      <c r="O19" s="131"/>
      <c r="P19" s="125" t="s">
        <v>32</v>
      </c>
      <c r="Q19" s="126"/>
      <c r="R19" s="126"/>
      <c r="S19" s="126"/>
      <c r="T19" s="126"/>
      <c r="U19" s="126"/>
      <c r="V19" s="125" t="s">
        <v>731</v>
      </c>
      <c r="W19" s="125" t="s">
        <v>348</v>
      </c>
      <c r="X19" s="126"/>
    </row>
    <row r="20" spans="1:24" ht="10.5" customHeight="1" x14ac:dyDescent="0.25">
      <c r="A20" s="121">
        <v>19</v>
      </c>
      <c r="B20" s="126"/>
      <c r="C20" s="126"/>
      <c r="D20" s="126"/>
      <c r="E20" s="126"/>
      <c r="F20" s="125" t="s">
        <v>802</v>
      </c>
      <c r="G20" s="125" t="s">
        <v>934</v>
      </c>
      <c r="H20" s="125" t="s">
        <v>935</v>
      </c>
      <c r="I20" s="126"/>
      <c r="J20" s="126"/>
      <c r="K20" s="126"/>
      <c r="L20" s="126"/>
      <c r="M20" s="131"/>
      <c r="N20" s="131"/>
      <c r="O20" s="131"/>
      <c r="P20" s="125" t="s">
        <v>33</v>
      </c>
      <c r="Q20" s="126"/>
      <c r="R20" s="126"/>
      <c r="S20" s="126"/>
      <c r="T20" s="126"/>
      <c r="U20" s="126"/>
      <c r="V20" s="125" t="s">
        <v>730</v>
      </c>
      <c r="W20" s="125" t="s">
        <v>366</v>
      </c>
      <c r="X20" s="126"/>
    </row>
    <row r="21" spans="1:24" ht="10.5" customHeight="1" x14ac:dyDescent="0.25">
      <c r="A21" s="121">
        <v>20</v>
      </c>
      <c r="B21" s="126"/>
      <c r="C21" s="126"/>
      <c r="D21" s="126"/>
      <c r="E21" s="126"/>
      <c r="F21" s="125" t="s">
        <v>805</v>
      </c>
      <c r="G21" s="125" t="s">
        <v>936</v>
      </c>
      <c r="H21" s="125" t="s">
        <v>937</v>
      </c>
      <c r="I21" s="126"/>
      <c r="J21" s="126"/>
      <c r="K21" s="126"/>
      <c r="L21" s="126"/>
      <c r="M21" s="131"/>
      <c r="N21" s="131"/>
      <c r="O21" s="131"/>
      <c r="P21" s="125" t="s">
        <v>34</v>
      </c>
      <c r="Q21" s="126"/>
      <c r="R21" s="126"/>
      <c r="S21" s="126"/>
      <c r="T21" s="126"/>
      <c r="U21" s="126"/>
      <c r="V21" s="125" t="s">
        <v>729</v>
      </c>
      <c r="W21" s="125" t="s">
        <v>382</v>
      </c>
      <c r="X21" s="126"/>
    </row>
    <row r="22" spans="1:24" ht="10.5" customHeight="1" x14ac:dyDescent="0.25">
      <c r="A22" s="121">
        <v>21</v>
      </c>
      <c r="B22" s="126"/>
      <c r="C22" s="126"/>
      <c r="D22" s="126"/>
      <c r="E22" s="126"/>
      <c r="F22" s="125" t="s">
        <v>820</v>
      </c>
      <c r="G22" s="125" t="s">
        <v>938</v>
      </c>
      <c r="H22" s="125" t="s">
        <v>939</v>
      </c>
      <c r="I22" s="126"/>
      <c r="J22" s="126"/>
      <c r="K22" s="126"/>
      <c r="L22" s="126"/>
      <c r="M22" s="131"/>
      <c r="N22" s="131"/>
      <c r="O22" s="131"/>
      <c r="P22" s="125" t="s">
        <v>35</v>
      </c>
      <c r="Q22" s="126"/>
      <c r="R22" s="126"/>
      <c r="S22" s="126"/>
      <c r="T22" s="126"/>
      <c r="U22" s="126"/>
      <c r="V22" s="125" t="s">
        <v>728</v>
      </c>
      <c r="W22" s="125" t="s">
        <v>384</v>
      </c>
      <c r="X22" s="126"/>
    </row>
    <row r="23" spans="1:24" ht="10.5" customHeight="1" x14ac:dyDescent="0.25">
      <c r="A23" s="121">
        <v>22</v>
      </c>
      <c r="B23" s="126"/>
      <c r="C23" s="126"/>
      <c r="D23" s="126"/>
      <c r="E23" s="126"/>
      <c r="F23" s="125" t="s">
        <v>804</v>
      </c>
      <c r="G23" s="125" t="s">
        <v>940</v>
      </c>
      <c r="H23" s="125" t="s">
        <v>941</v>
      </c>
      <c r="I23" s="126"/>
      <c r="J23" s="126"/>
      <c r="K23" s="126"/>
      <c r="L23" s="126"/>
      <c r="M23" s="131"/>
      <c r="N23" s="131"/>
      <c r="O23" s="131"/>
      <c r="P23" s="125" t="s">
        <v>36</v>
      </c>
      <c r="Q23" s="126"/>
      <c r="R23" s="126"/>
      <c r="S23" s="126"/>
      <c r="T23" s="126"/>
      <c r="U23" s="126"/>
      <c r="V23" s="125" t="s">
        <v>727</v>
      </c>
      <c r="W23" s="125" t="s">
        <v>207</v>
      </c>
      <c r="X23" s="126"/>
    </row>
    <row r="24" spans="1:24" ht="10.5" customHeight="1" x14ac:dyDescent="0.25">
      <c r="A24" s="121">
        <v>23</v>
      </c>
      <c r="B24" s="126"/>
      <c r="C24" s="126"/>
      <c r="D24" s="126"/>
      <c r="E24" s="126"/>
      <c r="F24" s="125" t="s">
        <v>803</v>
      </c>
      <c r="G24" s="125" t="s">
        <v>942</v>
      </c>
      <c r="H24" s="125" t="s">
        <v>792</v>
      </c>
      <c r="I24" s="126"/>
      <c r="J24" s="126"/>
      <c r="K24" s="126"/>
      <c r="L24" s="126"/>
      <c r="M24" s="131"/>
      <c r="N24" s="131"/>
      <c r="O24" s="131"/>
      <c r="P24" s="125" t="s">
        <v>37</v>
      </c>
      <c r="Q24" s="126"/>
      <c r="R24" s="126"/>
      <c r="S24" s="126"/>
      <c r="T24" s="126"/>
      <c r="U24" s="126"/>
      <c r="V24" s="125" t="s">
        <v>726</v>
      </c>
      <c r="W24" s="125" t="s">
        <v>240</v>
      </c>
      <c r="X24" s="126"/>
    </row>
    <row r="25" spans="1:24" ht="10.5" customHeight="1" x14ac:dyDescent="0.25">
      <c r="A25" s="121">
        <v>24</v>
      </c>
      <c r="B25" s="126"/>
      <c r="C25" s="126"/>
      <c r="D25" s="126"/>
      <c r="E25" s="126"/>
      <c r="F25" s="125" t="s">
        <v>819</v>
      </c>
      <c r="G25" s="125" t="s">
        <v>943</v>
      </c>
      <c r="H25" s="125" t="s">
        <v>944</v>
      </c>
      <c r="I25" s="126"/>
      <c r="J25" s="126"/>
      <c r="K25" s="126"/>
      <c r="L25" s="126"/>
      <c r="M25" s="131"/>
      <c r="N25" s="131"/>
      <c r="O25" s="131"/>
      <c r="P25" s="125" t="s">
        <v>38</v>
      </c>
      <c r="Q25" s="126"/>
      <c r="R25" s="126"/>
      <c r="S25" s="126"/>
      <c r="T25" s="126"/>
      <c r="U25" s="126"/>
      <c r="V25" s="125" t="s">
        <v>725</v>
      </c>
      <c r="W25" s="125" t="s">
        <v>243</v>
      </c>
      <c r="X25" s="126"/>
    </row>
    <row r="26" spans="1:24" ht="10.5" customHeight="1" x14ac:dyDescent="0.25">
      <c r="A26" s="121">
        <v>25</v>
      </c>
      <c r="B26" s="126"/>
      <c r="C26" s="126"/>
      <c r="D26" s="126"/>
      <c r="E26" s="126"/>
      <c r="F26" s="125" t="s">
        <v>818</v>
      </c>
      <c r="G26" s="125" t="s">
        <v>945</v>
      </c>
      <c r="H26" s="125" t="s">
        <v>946</v>
      </c>
      <c r="I26" s="126"/>
      <c r="J26" s="126"/>
      <c r="K26" s="126"/>
      <c r="L26" s="126"/>
      <c r="M26" s="131"/>
      <c r="N26" s="131"/>
      <c r="O26" s="131"/>
      <c r="P26" s="125" t="s">
        <v>39</v>
      </c>
      <c r="Q26" s="126"/>
      <c r="R26" s="126"/>
      <c r="S26" s="126"/>
      <c r="T26" s="126"/>
      <c r="U26" s="126"/>
      <c r="V26" s="125" t="s">
        <v>724</v>
      </c>
      <c r="W26" s="125" t="s">
        <v>282</v>
      </c>
      <c r="X26" s="126"/>
    </row>
    <row r="27" spans="1:24" ht="10.5" customHeight="1" x14ac:dyDescent="0.25">
      <c r="A27" s="121">
        <v>26</v>
      </c>
      <c r="B27" s="126"/>
      <c r="C27" s="126"/>
      <c r="D27" s="126"/>
      <c r="E27" s="126"/>
      <c r="F27" s="125" t="s">
        <v>806</v>
      </c>
      <c r="G27" s="125" t="s">
        <v>947</v>
      </c>
      <c r="H27" s="125" t="s">
        <v>948</v>
      </c>
      <c r="I27" s="126"/>
      <c r="J27" s="126"/>
      <c r="K27" s="126"/>
      <c r="L27" s="126"/>
      <c r="M27" s="131"/>
      <c r="N27" s="131"/>
      <c r="O27" s="131"/>
      <c r="P27" s="125" t="s">
        <v>40</v>
      </c>
      <c r="Q27" s="126"/>
      <c r="R27" s="126"/>
      <c r="S27" s="126"/>
      <c r="T27" s="126"/>
      <c r="U27" s="126"/>
      <c r="V27" s="125" t="s">
        <v>723</v>
      </c>
      <c r="W27" s="125" t="s">
        <v>284</v>
      </c>
      <c r="X27" s="126"/>
    </row>
    <row r="28" spans="1:24" ht="10.5" customHeight="1" x14ac:dyDescent="0.25">
      <c r="A28" s="121">
        <v>27</v>
      </c>
      <c r="B28" s="126"/>
      <c r="C28" s="126"/>
      <c r="D28" s="126"/>
      <c r="E28" s="126"/>
      <c r="F28" s="125" t="s">
        <v>807</v>
      </c>
      <c r="G28" s="125" t="s">
        <v>949</v>
      </c>
      <c r="H28" s="125" t="s">
        <v>950</v>
      </c>
      <c r="I28" s="126"/>
      <c r="J28" s="126"/>
      <c r="K28" s="126"/>
      <c r="L28" s="126"/>
      <c r="M28" s="131"/>
      <c r="N28" s="131"/>
      <c r="O28" s="131"/>
      <c r="P28" s="125" t="s">
        <v>41</v>
      </c>
      <c r="Q28" s="126"/>
      <c r="R28" s="126"/>
      <c r="S28" s="126"/>
      <c r="T28" s="126"/>
      <c r="U28" s="126"/>
      <c r="V28" s="125" t="s">
        <v>722</v>
      </c>
      <c r="W28" s="125" t="s">
        <v>361</v>
      </c>
      <c r="X28" s="126"/>
    </row>
    <row r="29" spans="1:24" ht="10.5" customHeight="1" x14ac:dyDescent="0.25">
      <c r="A29" s="121">
        <v>28</v>
      </c>
      <c r="B29" s="126"/>
      <c r="C29" s="126"/>
      <c r="D29" s="126"/>
      <c r="E29" s="126"/>
      <c r="F29" s="125" t="s">
        <v>808</v>
      </c>
      <c r="G29" s="125" t="s">
        <v>951</v>
      </c>
      <c r="H29" s="125" t="s">
        <v>952</v>
      </c>
      <c r="I29" s="126"/>
      <c r="J29" s="126"/>
      <c r="K29" s="126"/>
      <c r="L29" s="126"/>
      <c r="M29" s="131"/>
      <c r="N29" s="131"/>
      <c r="O29" s="131"/>
      <c r="P29" s="125" t="s">
        <v>42</v>
      </c>
      <c r="Q29" s="126"/>
      <c r="R29" s="126"/>
      <c r="S29" s="126"/>
      <c r="T29" s="126"/>
      <c r="U29" s="126"/>
      <c r="V29" s="125" t="s">
        <v>721</v>
      </c>
      <c r="W29" s="125" t="s">
        <v>371</v>
      </c>
      <c r="X29" s="126"/>
    </row>
    <row r="30" spans="1:24" ht="10.5" customHeight="1" x14ac:dyDescent="0.25">
      <c r="A30" s="121">
        <v>29</v>
      </c>
      <c r="B30" s="126"/>
      <c r="C30" s="126"/>
      <c r="D30" s="126"/>
      <c r="E30" s="126"/>
      <c r="F30" s="125" t="s">
        <v>811</v>
      </c>
      <c r="G30" s="125" t="s">
        <v>953</v>
      </c>
      <c r="H30" s="125" t="s">
        <v>954</v>
      </c>
      <c r="I30" s="126"/>
      <c r="J30" s="126"/>
      <c r="K30" s="126"/>
      <c r="L30" s="126"/>
      <c r="M30" s="131"/>
      <c r="N30" s="131"/>
      <c r="O30" s="131"/>
      <c r="P30" s="125" t="s">
        <v>43</v>
      </c>
      <c r="Q30" s="126"/>
      <c r="R30" s="126"/>
      <c r="S30" s="126"/>
      <c r="T30" s="126"/>
      <c r="U30" s="126"/>
      <c r="V30" s="125" t="s">
        <v>720</v>
      </c>
      <c r="W30" s="125" t="s">
        <v>379</v>
      </c>
      <c r="X30" s="126"/>
    </row>
    <row r="31" spans="1:24" ht="10.5" customHeight="1" x14ac:dyDescent="0.25">
      <c r="A31" s="121">
        <v>30</v>
      </c>
      <c r="B31" s="126"/>
      <c r="C31" s="126"/>
      <c r="D31" s="126"/>
      <c r="E31" s="126"/>
      <c r="F31" s="125" t="s">
        <v>809</v>
      </c>
      <c r="G31" s="125" t="s">
        <v>955</v>
      </c>
      <c r="H31" s="125" t="s">
        <v>956</v>
      </c>
      <c r="I31" s="126"/>
      <c r="J31" s="126"/>
      <c r="K31" s="126"/>
      <c r="L31" s="126"/>
      <c r="M31" s="131"/>
      <c r="N31" s="131"/>
      <c r="O31" s="131"/>
      <c r="P31" s="125" t="s">
        <v>44</v>
      </c>
      <c r="Q31" s="126"/>
      <c r="R31" s="126"/>
      <c r="S31" s="126"/>
      <c r="T31" s="126"/>
      <c r="U31" s="126"/>
      <c r="V31" s="125" t="s">
        <v>719</v>
      </c>
      <c r="W31" s="125" t="s">
        <v>186</v>
      </c>
      <c r="X31" s="126"/>
    </row>
    <row r="32" spans="1:24" ht="10.5" customHeight="1" x14ac:dyDescent="0.25">
      <c r="A32" s="121">
        <v>31</v>
      </c>
      <c r="B32" s="126"/>
      <c r="C32" s="126"/>
      <c r="D32" s="126"/>
      <c r="E32" s="126"/>
      <c r="F32" s="125" t="s">
        <v>815</v>
      </c>
      <c r="G32" s="125" t="s">
        <v>957</v>
      </c>
      <c r="H32" s="125" t="s">
        <v>958</v>
      </c>
      <c r="I32" s="126"/>
      <c r="J32" s="126"/>
      <c r="K32" s="126"/>
      <c r="L32" s="126"/>
      <c r="M32" s="131"/>
      <c r="N32" s="131"/>
      <c r="O32" s="131"/>
      <c r="P32" s="125" t="s">
        <v>45</v>
      </c>
      <c r="Q32" s="126"/>
      <c r="R32" s="126"/>
      <c r="S32" s="126"/>
      <c r="T32" s="126"/>
      <c r="U32" s="126"/>
      <c r="V32" s="125" t="s">
        <v>718</v>
      </c>
      <c r="W32" s="125" t="s">
        <v>191</v>
      </c>
      <c r="X32" s="126"/>
    </row>
    <row r="33" spans="1:24" ht="10.5" customHeight="1" x14ac:dyDescent="0.25">
      <c r="A33" s="121">
        <v>32</v>
      </c>
      <c r="B33" s="126"/>
      <c r="C33" s="126"/>
      <c r="D33" s="126"/>
      <c r="E33" s="126"/>
      <c r="F33" s="125" t="s">
        <v>810</v>
      </c>
      <c r="G33" s="125" t="s">
        <v>959</v>
      </c>
      <c r="H33" s="125" t="s">
        <v>791</v>
      </c>
      <c r="I33" s="126"/>
      <c r="J33" s="126"/>
      <c r="K33" s="126"/>
      <c r="L33" s="126"/>
      <c r="M33" s="131"/>
      <c r="N33" s="131"/>
      <c r="O33" s="131"/>
      <c r="P33" s="125" t="s">
        <v>46</v>
      </c>
      <c r="Q33" s="126"/>
      <c r="R33" s="126"/>
      <c r="S33" s="126"/>
      <c r="T33" s="126"/>
      <c r="U33" s="126"/>
      <c r="V33" s="125" t="s">
        <v>717</v>
      </c>
      <c r="W33" s="125" t="s">
        <v>200</v>
      </c>
      <c r="X33" s="126"/>
    </row>
    <row r="34" spans="1:24" ht="10.5" customHeight="1" x14ac:dyDescent="0.25">
      <c r="A34" s="121">
        <v>33</v>
      </c>
      <c r="B34" s="126"/>
      <c r="C34" s="126"/>
      <c r="D34" s="126"/>
      <c r="E34" s="126"/>
      <c r="F34" s="126"/>
      <c r="G34" s="125" t="s">
        <v>960</v>
      </c>
      <c r="H34" s="125" t="s">
        <v>961</v>
      </c>
      <c r="I34" s="126"/>
      <c r="J34" s="126"/>
      <c r="K34" s="126"/>
      <c r="L34" s="126"/>
      <c r="M34" s="131"/>
      <c r="N34" s="131"/>
      <c r="O34" s="131"/>
      <c r="P34" s="125" t="s">
        <v>47</v>
      </c>
      <c r="Q34" s="126"/>
      <c r="R34" s="126"/>
      <c r="S34" s="126"/>
      <c r="T34" s="126"/>
      <c r="U34" s="126"/>
      <c r="V34" s="125" t="s">
        <v>716</v>
      </c>
      <c r="W34" s="125" t="s">
        <v>201</v>
      </c>
      <c r="X34" s="126"/>
    </row>
    <row r="35" spans="1:24" ht="10.5" customHeight="1" x14ac:dyDescent="0.25">
      <c r="A35" s="121">
        <v>34</v>
      </c>
      <c r="B35" s="126"/>
      <c r="C35" s="126"/>
      <c r="D35" s="126"/>
      <c r="E35" s="126"/>
      <c r="F35" s="126"/>
      <c r="G35" s="125" t="s">
        <v>962</v>
      </c>
      <c r="H35" s="125" t="s">
        <v>963</v>
      </c>
      <c r="I35" s="126"/>
      <c r="J35" s="126"/>
      <c r="K35" s="126"/>
      <c r="L35" s="126"/>
      <c r="M35" s="131"/>
      <c r="N35" s="131"/>
      <c r="O35" s="131"/>
      <c r="P35" s="125" t="s">
        <v>48</v>
      </c>
      <c r="Q35" s="126"/>
      <c r="R35" s="126"/>
      <c r="S35" s="126"/>
      <c r="T35" s="126"/>
      <c r="U35" s="126"/>
      <c r="V35" s="125" t="s">
        <v>715</v>
      </c>
      <c r="W35" s="125" t="s">
        <v>202</v>
      </c>
      <c r="X35" s="126"/>
    </row>
    <row r="36" spans="1:24" ht="10.5" customHeight="1" x14ac:dyDescent="0.25">
      <c r="A36" s="121">
        <v>35</v>
      </c>
      <c r="B36" s="126"/>
      <c r="C36" s="126"/>
      <c r="D36" s="126"/>
      <c r="E36" s="126"/>
      <c r="F36" s="126"/>
      <c r="G36" s="125" t="s">
        <v>964</v>
      </c>
      <c r="H36" s="125" t="s">
        <v>965</v>
      </c>
      <c r="I36" s="126"/>
      <c r="J36" s="126"/>
      <c r="K36" s="126"/>
      <c r="L36" s="126"/>
      <c r="M36" s="131"/>
      <c r="N36" s="131"/>
      <c r="O36" s="131"/>
      <c r="P36" s="125" t="s">
        <v>49</v>
      </c>
      <c r="Q36" s="126"/>
      <c r="R36" s="126"/>
      <c r="S36" s="126"/>
      <c r="T36" s="126"/>
      <c r="U36" s="126"/>
      <c r="V36" s="125" t="s">
        <v>714</v>
      </c>
      <c r="W36" s="125" t="s">
        <v>220</v>
      </c>
      <c r="X36" s="126"/>
    </row>
    <row r="37" spans="1:24" ht="10.5" customHeight="1" x14ac:dyDescent="0.25">
      <c r="A37" s="121">
        <v>36</v>
      </c>
      <c r="B37" s="126"/>
      <c r="C37" s="126"/>
      <c r="D37" s="126"/>
      <c r="E37" s="126"/>
      <c r="F37" s="126"/>
      <c r="G37" s="125" t="s">
        <v>966</v>
      </c>
      <c r="H37" s="125" t="s">
        <v>967</v>
      </c>
      <c r="I37" s="126"/>
      <c r="J37" s="126"/>
      <c r="K37" s="126"/>
      <c r="L37" s="126"/>
      <c r="M37" s="131"/>
      <c r="N37" s="131"/>
      <c r="O37" s="131"/>
      <c r="P37" s="125" t="s">
        <v>50</v>
      </c>
      <c r="Q37" s="126"/>
      <c r="R37" s="126"/>
      <c r="S37" s="126"/>
      <c r="T37" s="126"/>
      <c r="U37" s="126"/>
      <c r="V37" s="125" t="s">
        <v>713</v>
      </c>
      <c r="W37" s="125" t="s">
        <v>227</v>
      </c>
      <c r="X37" s="126"/>
    </row>
    <row r="38" spans="1:24" ht="10.5" customHeight="1" x14ac:dyDescent="0.25">
      <c r="A38" s="121">
        <v>37</v>
      </c>
      <c r="B38" s="126"/>
      <c r="C38" s="126"/>
      <c r="D38" s="126"/>
      <c r="E38" s="126"/>
      <c r="F38" s="126"/>
      <c r="G38" s="125" t="s">
        <v>968</v>
      </c>
      <c r="H38" s="125" t="s">
        <v>969</v>
      </c>
      <c r="I38" s="126"/>
      <c r="J38" s="126"/>
      <c r="K38" s="126"/>
      <c r="L38" s="126"/>
      <c r="M38" s="131"/>
      <c r="N38" s="131"/>
      <c r="O38" s="131"/>
      <c r="P38" s="125" t="s">
        <v>51</v>
      </c>
      <c r="Q38" s="126"/>
      <c r="R38" s="126"/>
      <c r="S38" s="126"/>
      <c r="T38" s="126"/>
      <c r="U38" s="126"/>
      <c r="V38" s="125" t="s">
        <v>712</v>
      </c>
      <c r="W38" s="125" t="s">
        <v>258</v>
      </c>
      <c r="X38" s="126"/>
    </row>
    <row r="39" spans="1:24" ht="10.5" customHeight="1" x14ac:dyDescent="0.25">
      <c r="A39" s="121">
        <v>38</v>
      </c>
      <c r="B39" s="126"/>
      <c r="C39" s="126"/>
      <c r="D39" s="126"/>
      <c r="E39" s="126"/>
      <c r="F39" s="126"/>
      <c r="G39" s="125" t="s">
        <v>970</v>
      </c>
      <c r="H39" s="125" t="s">
        <v>971</v>
      </c>
      <c r="I39" s="126"/>
      <c r="J39" s="126"/>
      <c r="K39" s="126"/>
      <c r="L39" s="126"/>
      <c r="M39" s="131"/>
      <c r="N39" s="131"/>
      <c r="O39" s="131"/>
      <c r="P39" s="125" t="s">
        <v>52</v>
      </c>
      <c r="Q39" s="126"/>
      <c r="R39" s="126"/>
      <c r="S39" s="126"/>
      <c r="T39" s="126"/>
      <c r="U39" s="126"/>
      <c r="V39" s="125" t="s">
        <v>711</v>
      </c>
      <c r="W39" s="125" t="s">
        <v>265</v>
      </c>
      <c r="X39" s="126"/>
    </row>
    <row r="40" spans="1:24" ht="10.5" customHeight="1" x14ac:dyDescent="0.25">
      <c r="A40" s="121">
        <v>39</v>
      </c>
      <c r="B40" s="126"/>
      <c r="C40" s="126"/>
      <c r="D40" s="126"/>
      <c r="E40" s="126"/>
      <c r="F40" s="126"/>
      <c r="G40" s="125" t="s">
        <v>972</v>
      </c>
      <c r="H40" s="125" t="s">
        <v>973</v>
      </c>
      <c r="I40" s="126"/>
      <c r="J40" s="126"/>
      <c r="K40" s="126"/>
      <c r="L40" s="126"/>
      <c r="M40" s="131"/>
      <c r="N40" s="131"/>
      <c r="O40" s="131"/>
      <c r="P40" s="125" t="s">
        <v>53</v>
      </c>
      <c r="Q40" s="126"/>
      <c r="R40" s="126"/>
      <c r="S40" s="126"/>
      <c r="T40" s="126"/>
      <c r="U40" s="126"/>
      <c r="V40" s="125" t="s">
        <v>710</v>
      </c>
      <c r="W40" s="125" t="s">
        <v>267</v>
      </c>
      <c r="X40" s="126"/>
    </row>
    <row r="41" spans="1:24" ht="10.5" customHeight="1" x14ac:dyDescent="0.25">
      <c r="A41" s="121">
        <v>40</v>
      </c>
      <c r="B41" s="126"/>
      <c r="C41" s="126"/>
      <c r="D41" s="126"/>
      <c r="E41" s="126"/>
      <c r="F41" s="126"/>
      <c r="G41" s="125" t="s">
        <v>974</v>
      </c>
      <c r="H41" s="125" t="s">
        <v>975</v>
      </c>
      <c r="I41" s="126"/>
      <c r="J41" s="126"/>
      <c r="K41" s="126"/>
      <c r="L41" s="126"/>
      <c r="M41" s="131"/>
      <c r="N41" s="131"/>
      <c r="O41" s="131"/>
      <c r="P41" s="125" t="s">
        <v>55</v>
      </c>
      <c r="Q41" s="126"/>
      <c r="R41" s="126"/>
      <c r="S41" s="126"/>
      <c r="T41" s="126"/>
      <c r="U41" s="126"/>
      <c r="V41" s="125" t="s">
        <v>709</v>
      </c>
      <c r="W41" s="125" t="s">
        <v>288</v>
      </c>
      <c r="X41" s="126"/>
    </row>
    <row r="42" spans="1:24" ht="10.5" customHeight="1" x14ac:dyDescent="0.25">
      <c r="A42" s="121">
        <v>41</v>
      </c>
      <c r="B42" s="126"/>
      <c r="C42" s="126"/>
      <c r="D42" s="126"/>
      <c r="E42" s="126"/>
      <c r="F42" s="126"/>
      <c r="G42" s="125" t="s">
        <v>976</v>
      </c>
      <c r="H42" s="125" t="s">
        <v>977</v>
      </c>
      <c r="I42" s="126"/>
      <c r="J42" s="126"/>
      <c r="K42" s="126"/>
      <c r="L42" s="126"/>
      <c r="M42" s="131"/>
      <c r="N42" s="131"/>
      <c r="O42" s="131"/>
      <c r="P42" s="125" t="s">
        <v>54</v>
      </c>
      <c r="Q42" s="126"/>
      <c r="R42" s="126"/>
      <c r="S42" s="126"/>
      <c r="T42" s="126"/>
      <c r="U42" s="126"/>
      <c r="V42" s="125" t="s">
        <v>708</v>
      </c>
      <c r="W42" s="125" t="s">
        <v>293</v>
      </c>
      <c r="X42" s="126"/>
    </row>
    <row r="43" spans="1:24" ht="10.5" customHeight="1" x14ac:dyDescent="0.25">
      <c r="A43" s="121">
        <v>42</v>
      </c>
      <c r="B43" s="126"/>
      <c r="C43" s="126"/>
      <c r="D43" s="126"/>
      <c r="E43" s="126"/>
      <c r="F43" s="126"/>
      <c r="G43" s="125" t="s">
        <v>978</v>
      </c>
      <c r="H43" s="125" t="s">
        <v>979</v>
      </c>
      <c r="I43" s="126"/>
      <c r="J43" s="126"/>
      <c r="K43" s="126"/>
      <c r="L43" s="126"/>
      <c r="M43" s="131"/>
      <c r="N43" s="131"/>
      <c r="O43" s="131"/>
      <c r="P43" s="125" t="s">
        <v>56</v>
      </c>
      <c r="Q43" s="126"/>
      <c r="R43" s="126"/>
      <c r="S43" s="126"/>
      <c r="T43" s="126"/>
      <c r="U43" s="126"/>
      <c r="V43" s="125" t="s">
        <v>707</v>
      </c>
      <c r="W43" s="125" t="s">
        <v>295</v>
      </c>
      <c r="X43" s="126"/>
    </row>
    <row r="44" spans="1:24" ht="10.5" customHeight="1" x14ac:dyDescent="0.25">
      <c r="A44" s="121">
        <v>43</v>
      </c>
      <c r="B44" s="126"/>
      <c r="C44" s="126"/>
      <c r="D44" s="126"/>
      <c r="E44" s="126"/>
      <c r="F44" s="126"/>
      <c r="G44" s="125" t="s">
        <v>980</v>
      </c>
      <c r="H44" s="125" t="s">
        <v>981</v>
      </c>
      <c r="I44" s="126"/>
      <c r="J44" s="126"/>
      <c r="K44" s="126"/>
      <c r="L44" s="126"/>
      <c r="M44" s="131"/>
      <c r="N44" s="131"/>
      <c r="O44" s="131"/>
      <c r="P44" s="125" t="s">
        <v>57</v>
      </c>
      <c r="Q44" s="126"/>
      <c r="R44" s="126"/>
      <c r="S44" s="126"/>
      <c r="T44" s="126"/>
      <c r="U44" s="126"/>
      <c r="V44" s="125" t="s">
        <v>706</v>
      </c>
      <c r="W44" s="125" t="s">
        <v>309</v>
      </c>
      <c r="X44" s="126"/>
    </row>
    <row r="45" spans="1:24" ht="10.5" customHeight="1" x14ac:dyDescent="0.25">
      <c r="A45" s="121">
        <v>44</v>
      </c>
      <c r="B45" s="126"/>
      <c r="C45" s="126"/>
      <c r="D45" s="126"/>
      <c r="E45" s="126"/>
      <c r="F45" s="126"/>
      <c r="G45" s="125" t="s">
        <v>982</v>
      </c>
      <c r="H45" s="125" t="s">
        <v>983</v>
      </c>
      <c r="I45" s="126"/>
      <c r="J45" s="126"/>
      <c r="K45" s="126"/>
      <c r="L45" s="126"/>
      <c r="M45" s="131"/>
      <c r="N45" s="131"/>
      <c r="O45" s="131"/>
      <c r="P45" s="125" t="s">
        <v>58</v>
      </c>
      <c r="Q45" s="126"/>
      <c r="R45" s="126"/>
      <c r="S45" s="126"/>
      <c r="T45" s="126"/>
      <c r="U45" s="126"/>
      <c r="V45" s="125" t="s">
        <v>705</v>
      </c>
      <c r="W45" s="125" t="s">
        <v>313</v>
      </c>
      <c r="X45" s="126"/>
    </row>
    <row r="46" spans="1:24" ht="10.5" customHeight="1" x14ac:dyDescent="0.25">
      <c r="A46" s="121">
        <v>45</v>
      </c>
      <c r="B46" s="126"/>
      <c r="C46" s="126"/>
      <c r="D46" s="126"/>
      <c r="E46" s="126"/>
      <c r="F46" s="126"/>
      <c r="G46" s="125" t="s">
        <v>984</v>
      </c>
      <c r="H46" s="125" t="s">
        <v>985</v>
      </c>
      <c r="I46" s="126"/>
      <c r="J46" s="126"/>
      <c r="K46" s="126"/>
      <c r="L46" s="126"/>
      <c r="M46" s="131"/>
      <c r="N46" s="131"/>
      <c r="O46" s="131"/>
      <c r="P46" s="125" t="s">
        <v>59</v>
      </c>
      <c r="Q46" s="126"/>
      <c r="R46" s="126"/>
      <c r="S46" s="126"/>
      <c r="T46" s="126"/>
      <c r="U46" s="126"/>
      <c r="V46" s="125" t="s">
        <v>704</v>
      </c>
      <c r="W46" s="125" t="s">
        <v>322</v>
      </c>
      <c r="X46" s="126"/>
    </row>
    <row r="47" spans="1:24" ht="10.5" customHeight="1" x14ac:dyDescent="0.25">
      <c r="A47" s="121">
        <v>46</v>
      </c>
      <c r="B47" s="126"/>
      <c r="C47" s="126"/>
      <c r="D47" s="126"/>
      <c r="E47" s="126"/>
      <c r="F47" s="126"/>
      <c r="G47" s="125" t="s">
        <v>986</v>
      </c>
      <c r="H47" s="125" t="s">
        <v>987</v>
      </c>
      <c r="I47" s="126"/>
      <c r="J47" s="126"/>
      <c r="K47" s="126"/>
      <c r="L47" s="126"/>
      <c r="M47" s="131"/>
      <c r="N47" s="131"/>
      <c r="O47" s="131"/>
      <c r="P47" s="125" t="s">
        <v>60</v>
      </c>
      <c r="Q47" s="126"/>
      <c r="R47" s="126"/>
      <c r="S47" s="126"/>
      <c r="T47" s="126"/>
      <c r="U47" s="126"/>
      <c r="V47" s="125" t="s">
        <v>703</v>
      </c>
      <c r="W47" s="125" t="s">
        <v>323</v>
      </c>
      <c r="X47" s="126"/>
    </row>
    <row r="48" spans="1:24" ht="10.5" customHeight="1" x14ac:dyDescent="0.25">
      <c r="A48" s="121">
        <v>47</v>
      </c>
      <c r="B48" s="126"/>
      <c r="C48" s="126"/>
      <c r="D48" s="126"/>
      <c r="E48" s="126"/>
      <c r="F48" s="126"/>
      <c r="G48" s="125" t="s">
        <v>988</v>
      </c>
      <c r="H48" s="125" t="s">
        <v>989</v>
      </c>
      <c r="I48" s="126"/>
      <c r="J48" s="126"/>
      <c r="K48" s="126"/>
      <c r="L48" s="126"/>
      <c r="M48" s="131"/>
      <c r="N48" s="131"/>
      <c r="O48" s="131"/>
      <c r="P48" s="125" t="s">
        <v>61</v>
      </c>
      <c r="Q48" s="126"/>
      <c r="R48" s="126"/>
      <c r="S48" s="126"/>
      <c r="T48" s="126"/>
      <c r="U48" s="126"/>
      <c r="V48" s="125" t="s">
        <v>702</v>
      </c>
      <c r="W48" s="125" t="s">
        <v>324</v>
      </c>
      <c r="X48" s="126"/>
    </row>
    <row r="49" spans="1:24" ht="10.5" customHeight="1" x14ac:dyDescent="0.25">
      <c r="A49" s="121">
        <v>48</v>
      </c>
      <c r="B49" s="126"/>
      <c r="C49" s="126"/>
      <c r="D49" s="126"/>
      <c r="E49" s="126"/>
      <c r="F49" s="126"/>
      <c r="G49" s="125" t="s">
        <v>990</v>
      </c>
      <c r="H49" s="125" t="s">
        <v>991</v>
      </c>
      <c r="I49" s="126"/>
      <c r="J49" s="126"/>
      <c r="K49" s="126"/>
      <c r="L49" s="126"/>
      <c r="M49" s="131"/>
      <c r="N49" s="131"/>
      <c r="O49" s="131"/>
      <c r="P49" s="125" t="s">
        <v>62</v>
      </c>
      <c r="Q49" s="126"/>
      <c r="R49" s="126"/>
      <c r="S49" s="126"/>
      <c r="T49" s="126"/>
      <c r="U49" s="126"/>
      <c r="V49" s="125" t="s">
        <v>701</v>
      </c>
      <c r="W49" s="125" t="s">
        <v>349</v>
      </c>
      <c r="X49" s="126"/>
    </row>
    <row r="50" spans="1:24" ht="10.5" customHeight="1" x14ac:dyDescent="0.25">
      <c r="A50" s="121">
        <v>49</v>
      </c>
      <c r="B50" s="126"/>
      <c r="C50" s="126"/>
      <c r="D50" s="126"/>
      <c r="E50" s="126"/>
      <c r="F50" s="126"/>
      <c r="G50" s="125" t="s">
        <v>992</v>
      </c>
      <c r="H50" s="125" t="s">
        <v>796</v>
      </c>
      <c r="I50" s="126"/>
      <c r="J50" s="126"/>
      <c r="K50" s="126"/>
      <c r="L50" s="126"/>
      <c r="M50" s="131"/>
      <c r="N50" s="131"/>
      <c r="O50" s="131"/>
      <c r="P50" s="125" t="s">
        <v>63</v>
      </c>
      <c r="Q50" s="126"/>
      <c r="R50" s="126"/>
      <c r="S50" s="126"/>
      <c r="T50" s="126"/>
      <c r="U50" s="126"/>
      <c r="V50" s="125" t="s">
        <v>700</v>
      </c>
      <c r="W50" s="125" t="s">
        <v>372</v>
      </c>
      <c r="X50" s="126"/>
    </row>
    <row r="51" spans="1:24" ht="10.5" customHeight="1" x14ac:dyDescent="0.25">
      <c r="A51" s="121">
        <v>50</v>
      </c>
      <c r="B51" s="126"/>
      <c r="C51" s="126"/>
      <c r="D51" s="126"/>
      <c r="E51" s="126"/>
      <c r="F51" s="126"/>
      <c r="G51" s="125" t="s">
        <v>993</v>
      </c>
      <c r="H51" s="125" t="s">
        <v>994</v>
      </c>
      <c r="I51" s="126"/>
      <c r="J51" s="126"/>
      <c r="K51" s="126"/>
      <c r="L51" s="126"/>
      <c r="M51" s="131"/>
      <c r="N51" s="131"/>
      <c r="O51" s="131"/>
      <c r="P51" s="125" t="s">
        <v>64</v>
      </c>
      <c r="Q51" s="126"/>
      <c r="R51" s="126"/>
      <c r="S51" s="126"/>
      <c r="T51" s="126"/>
      <c r="U51" s="126"/>
      <c r="V51" s="125" t="s">
        <v>699</v>
      </c>
      <c r="W51" s="125" t="s">
        <v>373</v>
      </c>
      <c r="X51" s="126"/>
    </row>
    <row r="52" spans="1:24" ht="10.5" customHeight="1" x14ac:dyDescent="0.25">
      <c r="A52" s="121">
        <v>51</v>
      </c>
      <c r="B52" s="126"/>
      <c r="C52" s="126"/>
      <c r="D52" s="126"/>
      <c r="E52" s="126"/>
      <c r="F52" s="126"/>
      <c r="G52" s="125" t="s">
        <v>995</v>
      </c>
      <c r="H52" s="125" t="s">
        <v>996</v>
      </c>
      <c r="I52" s="126"/>
      <c r="J52" s="126"/>
      <c r="K52" s="126"/>
      <c r="L52" s="126"/>
      <c r="M52" s="131"/>
      <c r="N52" s="131"/>
      <c r="O52" s="131"/>
      <c r="P52" s="125" t="s">
        <v>65</v>
      </c>
      <c r="Q52" s="126"/>
      <c r="R52" s="126"/>
      <c r="S52" s="126"/>
      <c r="T52" s="126"/>
      <c r="U52" s="126"/>
      <c r="V52" s="125" t="s">
        <v>698</v>
      </c>
      <c r="W52" s="125" t="s">
        <v>383</v>
      </c>
      <c r="X52" s="126"/>
    </row>
    <row r="53" spans="1:24" ht="10.5" customHeight="1" x14ac:dyDescent="0.25">
      <c r="A53" s="121">
        <v>52</v>
      </c>
      <c r="B53" s="126"/>
      <c r="C53" s="126"/>
      <c r="D53" s="126"/>
      <c r="E53" s="126"/>
      <c r="F53" s="126"/>
      <c r="G53" s="125" t="s">
        <v>997</v>
      </c>
      <c r="H53" s="125" t="s">
        <v>998</v>
      </c>
      <c r="I53" s="126"/>
      <c r="J53" s="126"/>
      <c r="K53" s="126"/>
      <c r="L53" s="126"/>
      <c r="M53" s="131"/>
      <c r="N53" s="131"/>
      <c r="O53" s="131"/>
      <c r="P53" s="125" t="s">
        <v>66</v>
      </c>
      <c r="Q53" s="126"/>
      <c r="R53" s="126"/>
      <c r="S53" s="126"/>
      <c r="T53" s="126"/>
      <c r="U53" s="126"/>
      <c r="V53" s="125" t="s">
        <v>697</v>
      </c>
      <c r="W53" s="125" t="s">
        <v>386</v>
      </c>
      <c r="X53" s="126"/>
    </row>
    <row r="54" spans="1:24" ht="10.5" customHeight="1" x14ac:dyDescent="0.25">
      <c r="A54" s="121">
        <v>53</v>
      </c>
      <c r="B54" s="126"/>
      <c r="C54" s="126"/>
      <c r="D54" s="126"/>
      <c r="E54" s="126"/>
      <c r="F54" s="126"/>
      <c r="G54" s="125" t="s">
        <v>999</v>
      </c>
      <c r="H54" s="125" t="s">
        <v>1000</v>
      </c>
      <c r="I54" s="126"/>
      <c r="J54" s="126"/>
      <c r="K54" s="126"/>
      <c r="L54" s="126"/>
      <c r="M54" s="131"/>
      <c r="N54" s="131"/>
      <c r="O54" s="131"/>
      <c r="P54" s="125" t="s">
        <v>68</v>
      </c>
      <c r="Q54" s="126"/>
      <c r="R54" s="126"/>
      <c r="S54" s="126"/>
      <c r="T54" s="126"/>
      <c r="U54" s="126"/>
      <c r="V54" s="125" t="s">
        <v>696</v>
      </c>
      <c r="W54" s="125" t="s">
        <v>407</v>
      </c>
      <c r="X54" s="126"/>
    </row>
    <row r="55" spans="1:24" ht="10.5" customHeight="1" x14ac:dyDescent="0.25">
      <c r="A55" s="121">
        <v>54</v>
      </c>
      <c r="B55" s="126"/>
      <c r="C55" s="126"/>
      <c r="D55" s="126"/>
      <c r="E55" s="126"/>
      <c r="F55" s="126"/>
      <c r="G55" s="125" t="s">
        <v>1001</v>
      </c>
      <c r="H55" s="125" t="s">
        <v>1002</v>
      </c>
      <c r="I55" s="126"/>
      <c r="J55" s="126"/>
      <c r="K55" s="126"/>
      <c r="L55" s="126"/>
      <c r="M55" s="131"/>
      <c r="N55" s="131"/>
      <c r="O55" s="131"/>
      <c r="P55" s="125" t="s">
        <v>69</v>
      </c>
      <c r="Q55" s="126"/>
      <c r="R55" s="126"/>
      <c r="S55" s="126"/>
      <c r="T55" s="126"/>
      <c r="U55" s="126"/>
      <c r="V55" s="125" t="s">
        <v>695</v>
      </c>
      <c r="W55" s="125" t="s">
        <v>412</v>
      </c>
      <c r="X55" s="126"/>
    </row>
    <row r="56" spans="1:24" ht="10.5" customHeight="1" x14ac:dyDescent="0.25">
      <c r="A56" s="121">
        <v>55</v>
      </c>
      <c r="B56" s="126"/>
      <c r="C56" s="126"/>
      <c r="D56" s="126"/>
      <c r="E56" s="126"/>
      <c r="F56" s="126"/>
      <c r="G56" s="125" t="s">
        <v>1003</v>
      </c>
      <c r="H56" s="125" t="s">
        <v>1004</v>
      </c>
      <c r="I56" s="126"/>
      <c r="J56" s="126"/>
      <c r="K56" s="126"/>
      <c r="L56" s="126"/>
      <c r="M56" s="131"/>
      <c r="N56" s="131"/>
      <c r="O56" s="131"/>
      <c r="P56" s="125" t="s">
        <v>70</v>
      </c>
      <c r="Q56" s="126"/>
      <c r="R56" s="126"/>
      <c r="S56" s="126"/>
      <c r="T56" s="126"/>
      <c r="U56" s="126"/>
      <c r="V56" s="125" t="s">
        <v>694</v>
      </c>
      <c r="W56" s="125" t="s">
        <v>198</v>
      </c>
      <c r="X56" s="126"/>
    </row>
    <row r="57" spans="1:24" ht="10.5" customHeight="1" x14ac:dyDescent="0.25">
      <c r="A57" s="121">
        <v>56</v>
      </c>
      <c r="B57" s="126"/>
      <c r="C57" s="126"/>
      <c r="D57" s="126"/>
      <c r="E57" s="126"/>
      <c r="F57" s="126"/>
      <c r="G57" s="125" t="s">
        <v>1005</v>
      </c>
      <c r="H57" s="125" t="s">
        <v>1006</v>
      </c>
      <c r="I57" s="126"/>
      <c r="J57" s="126"/>
      <c r="K57" s="126"/>
      <c r="L57" s="126"/>
      <c r="M57" s="131"/>
      <c r="N57" s="131"/>
      <c r="O57" s="131"/>
      <c r="P57" s="125" t="s">
        <v>71</v>
      </c>
      <c r="Q57" s="126"/>
      <c r="R57" s="126"/>
      <c r="S57" s="126"/>
      <c r="T57" s="126"/>
      <c r="U57" s="126"/>
      <c r="V57" s="125" t="s">
        <v>693</v>
      </c>
      <c r="W57" s="125" t="s">
        <v>222</v>
      </c>
      <c r="X57" s="126"/>
    </row>
    <row r="58" spans="1:24" ht="10.5" customHeight="1" x14ac:dyDescent="0.25">
      <c r="A58" s="121">
        <v>57</v>
      </c>
      <c r="B58" s="126"/>
      <c r="C58" s="126"/>
      <c r="D58" s="126"/>
      <c r="E58" s="126"/>
      <c r="F58" s="126"/>
      <c r="G58" s="125" t="s">
        <v>1007</v>
      </c>
      <c r="H58" s="125" t="s">
        <v>1008</v>
      </c>
      <c r="I58" s="126"/>
      <c r="J58" s="126"/>
      <c r="K58" s="126"/>
      <c r="L58" s="126"/>
      <c r="M58" s="131"/>
      <c r="N58" s="131"/>
      <c r="O58" s="131"/>
      <c r="P58" s="125" t="s">
        <v>72</v>
      </c>
      <c r="Q58" s="126"/>
      <c r="R58" s="126"/>
      <c r="S58" s="126"/>
      <c r="T58" s="126"/>
      <c r="U58" s="126"/>
      <c r="V58" s="125" t="s">
        <v>692</v>
      </c>
      <c r="W58" s="125" t="s">
        <v>232</v>
      </c>
      <c r="X58" s="126"/>
    </row>
    <row r="59" spans="1:24" ht="10.5" customHeight="1" x14ac:dyDescent="0.25">
      <c r="A59" s="121">
        <v>58</v>
      </c>
      <c r="B59" s="126"/>
      <c r="C59" s="126"/>
      <c r="D59" s="126"/>
      <c r="E59" s="126"/>
      <c r="F59" s="126"/>
      <c r="G59" s="125" t="s">
        <v>1009</v>
      </c>
      <c r="H59" s="125" t="s">
        <v>1010</v>
      </c>
      <c r="I59" s="126"/>
      <c r="J59" s="126"/>
      <c r="K59" s="126"/>
      <c r="L59" s="126"/>
      <c r="M59" s="131"/>
      <c r="N59" s="131"/>
      <c r="O59" s="131"/>
      <c r="P59" s="125" t="s">
        <v>73</v>
      </c>
      <c r="Q59" s="126"/>
      <c r="R59" s="126"/>
      <c r="S59" s="126"/>
      <c r="T59" s="126"/>
      <c r="U59" s="126"/>
      <c r="V59" s="125" t="s">
        <v>691</v>
      </c>
      <c r="W59" s="125" t="s">
        <v>279</v>
      </c>
      <c r="X59" s="126"/>
    </row>
    <row r="60" spans="1:24" ht="10.5" customHeight="1" x14ac:dyDescent="0.25">
      <c r="A60" s="121">
        <v>59</v>
      </c>
      <c r="B60" s="126"/>
      <c r="C60" s="126"/>
      <c r="D60" s="126"/>
      <c r="E60" s="126"/>
      <c r="F60" s="126"/>
      <c r="G60" s="125" t="s">
        <v>1011</v>
      </c>
      <c r="H60" s="125" t="s">
        <v>1012</v>
      </c>
      <c r="I60" s="126"/>
      <c r="J60" s="126"/>
      <c r="K60" s="126"/>
      <c r="L60" s="126"/>
      <c r="M60" s="131"/>
      <c r="N60" s="131"/>
      <c r="O60" s="131"/>
      <c r="P60" s="125" t="s">
        <v>74</v>
      </c>
      <c r="Q60" s="126"/>
      <c r="R60" s="126"/>
      <c r="S60" s="126"/>
      <c r="T60" s="126"/>
      <c r="U60" s="126"/>
      <c r="V60" s="125" t="s">
        <v>690</v>
      </c>
      <c r="W60" s="125" t="s">
        <v>287</v>
      </c>
      <c r="X60" s="126"/>
    </row>
    <row r="61" spans="1:24" ht="10.5" customHeight="1" x14ac:dyDescent="0.25">
      <c r="A61" s="121">
        <v>60</v>
      </c>
      <c r="B61" s="126"/>
      <c r="C61" s="126"/>
      <c r="D61" s="126"/>
      <c r="E61" s="126"/>
      <c r="F61" s="126"/>
      <c r="G61" s="125" t="s">
        <v>1013</v>
      </c>
      <c r="H61" s="125" t="s">
        <v>1014</v>
      </c>
      <c r="I61" s="126"/>
      <c r="J61" s="126"/>
      <c r="K61" s="126"/>
      <c r="L61" s="126"/>
      <c r="M61" s="131"/>
      <c r="N61" s="131"/>
      <c r="O61" s="131"/>
      <c r="P61" s="125" t="s">
        <v>75</v>
      </c>
      <c r="Q61" s="126"/>
      <c r="R61" s="126"/>
      <c r="S61" s="126"/>
      <c r="T61" s="126"/>
      <c r="U61" s="126"/>
      <c r="V61" s="125" t="s">
        <v>689</v>
      </c>
      <c r="W61" s="125" t="s">
        <v>298</v>
      </c>
      <c r="X61" s="126"/>
    </row>
    <row r="62" spans="1:24" ht="10.5" customHeight="1" x14ac:dyDescent="0.25">
      <c r="A62" s="121">
        <v>61</v>
      </c>
      <c r="B62" s="126"/>
      <c r="C62" s="126"/>
      <c r="D62" s="126"/>
      <c r="E62" s="126"/>
      <c r="F62" s="126"/>
      <c r="G62" s="125" t="s">
        <v>1015</v>
      </c>
      <c r="H62" s="125" t="s">
        <v>1016</v>
      </c>
      <c r="I62" s="126"/>
      <c r="J62" s="126"/>
      <c r="K62" s="126"/>
      <c r="L62" s="126"/>
      <c r="M62" s="131"/>
      <c r="N62" s="131"/>
      <c r="O62" s="131"/>
      <c r="P62" s="125" t="s">
        <v>76</v>
      </c>
      <c r="Q62" s="126"/>
      <c r="R62" s="126"/>
      <c r="S62" s="126"/>
      <c r="T62" s="126"/>
      <c r="U62" s="126"/>
      <c r="V62" s="125" t="s">
        <v>688</v>
      </c>
      <c r="W62" s="125" t="s">
        <v>306</v>
      </c>
      <c r="X62" s="126"/>
    </row>
    <row r="63" spans="1:24" ht="10.5" customHeight="1" x14ac:dyDescent="0.25">
      <c r="A63" s="121">
        <v>62</v>
      </c>
      <c r="B63" s="126"/>
      <c r="C63" s="126"/>
      <c r="D63" s="126"/>
      <c r="E63" s="126"/>
      <c r="F63" s="126"/>
      <c r="G63" s="125" t="s">
        <v>1017</v>
      </c>
      <c r="H63" s="125" t="s">
        <v>1018</v>
      </c>
      <c r="I63" s="126"/>
      <c r="J63" s="126"/>
      <c r="K63" s="126"/>
      <c r="L63" s="126"/>
      <c r="M63" s="131"/>
      <c r="N63" s="131"/>
      <c r="O63" s="131"/>
      <c r="P63" s="125" t="s">
        <v>77</v>
      </c>
      <c r="Q63" s="126"/>
      <c r="R63" s="126"/>
      <c r="S63" s="126"/>
      <c r="T63" s="126"/>
      <c r="U63" s="126"/>
      <c r="V63" s="125" t="s">
        <v>687</v>
      </c>
      <c r="W63" s="125" t="s">
        <v>353</v>
      </c>
      <c r="X63" s="126"/>
    </row>
    <row r="64" spans="1:24" ht="10.5" customHeight="1" x14ac:dyDescent="0.25">
      <c r="A64" s="121">
        <v>63</v>
      </c>
      <c r="B64" s="126"/>
      <c r="C64" s="126"/>
      <c r="D64" s="126"/>
      <c r="E64" s="126"/>
      <c r="F64" s="126"/>
      <c r="G64" s="125" t="s">
        <v>1019</v>
      </c>
      <c r="H64" s="125" t="s">
        <v>1020</v>
      </c>
      <c r="I64" s="126"/>
      <c r="J64" s="126"/>
      <c r="K64" s="126"/>
      <c r="L64" s="126"/>
      <c r="M64" s="131"/>
      <c r="N64" s="131"/>
      <c r="O64" s="131"/>
      <c r="P64" s="125" t="s">
        <v>78</v>
      </c>
      <c r="Q64" s="126"/>
      <c r="R64" s="126"/>
      <c r="S64" s="126"/>
      <c r="T64" s="126"/>
      <c r="U64" s="126"/>
      <c r="V64" s="125" t="s">
        <v>686</v>
      </c>
      <c r="W64" s="125" t="s">
        <v>380</v>
      </c>
      <c r="X64" s="126"/>
    </row>
    <row r="65" spans="1:24" ht="10.5" customHeight="1" x14ac:dyDescent="0.25">
      <c r="A65" s="121">
        <v>64</v>
      </c>
      <c r="B65" s="126"/>
      <c r="C65" s="126"/>
      <c r="D65" s="126"/>
      <c r="E65" s="126"/>
      <c r="F65" s="126"/>
      <c r="G65" s="125" t="s">
        <v>1021</v>
      </c>
      <c r="H65" s="125" t="s">
        <v>1022</v>
      </c>
      <c r="I65" s="126"/>
      <c r="J65" s="126"/>
      <c r="K65" s="126"/>
      <c r="L65" s="126"/>
      <c r="M65" s="131"/>
      <c r="N65" s="131"/>
      <c r="O65" s="131"/>
      <c r="P65" s="125" t="s">
        <v>79</v>
      </c>
      <c r="Q65" s="126"/>
      <c r="R65" s="126"/>
      <c r="S65" s="126"/>
      <c r="T65" s="126"/>
      <c r="U65" s="126"/>
      <c r="V65" s="125" t="s">
        <v>685</v>
      </c>
      <c r="W65" s="125" t="s">
        <v>410</v>
      </c>
      <c r="X65" s="126"/>
    </row>
    <row r="66" spans="1:24" ht="10.5" customHeight="1" x14ac:dyDescent="0.25">
      <c r="A66" s="121">
        <v>65</v>
      </c>
      <c r="B66" s="126"/>
      <c r="C66" s="126"/>
      <c r="D66" s="126"/>
      <c r="E66" s="126"/>
      <c r="F66" s="126"/>
      <c r="G66" s="125" t="s">
        <v>1023</v>
      </c>
      <c r="H66" s="125" t="s">
        <v>1024</v>
      </c>
      <c r="I66" s="126"/>
      <c r="J66" s="126"/>
      <c r="K66" s="126"/>
      <c r="L66" s="126"/>
      <c r="M66" s="131"/>
      <c r="N66" s="131"/>
      <c r="O66" s="131"/>
      <c r="P66" s="125" t="s">
        <v>80</v>
      </c>
      <c r="Q66" s="126"/>
      <c r="R66" s="126"/>
      <c r="S66" s="126"/>
      <c r="T66" s="126"/>
      <c r="U66" s="126"/>
      <c r="V66" s="125" t="s">
        <v>684</v>
      </c>
      <c r="W66" s="125" t="s">
        <v>187</v>
      </c>
      <c r="X66" s="126"/>
    </row>
    <row r="67" spans="1:24" ht="10.5" customHeight="1" x14ac:dyDescent="0.25">
      <c r="A67" s="121">
        <v>66</v>
      </c>
      <c r="B67" s="126"/>
      <c r="C67" s="126"/>
      <c r="D67" s="126"/>
      <c r="E67" s="126"/>
      <c r="F67" s="126"/>
      <c r="G67" s="125" t="s">
        <v>1025</v>
      </c>
      <c r="H67" s="125" t="s">
        <v>1026</v>
      </c>
      <c r="I67" s="126"/>
      <c r="J67" s="126"/>
      <c r="K67" s="126"/>
      <c r="L67" s="126"/>
      <c r="M67" s="131"/>
      <c r="N67" s="131"/>
      <c r="O67" s="131"/>
      <c r="P67" s="125" t="s">
        <v>81</v>
      </c>
      <c r="Q67" s="126"/>
      <c r="R67" s="126"/>
      <c r="S67" s="126"/>
      <c r="T67" s="126"/>
      <c r="U67" s="126"/>
      <c r="V67" s="125" t="s">
        <v>683</v>
      </c>
      <c r="W67" s="125" t="s">
        <v>190</v>
      </c>
      <c r="X67" s="126"/>
    </row>
    <row r="68" spans="1:24" ht="10.5" customHeight="1" x14ac:dyDescent="0.25">
      <c r="A68" s="121">
        <v>67</v>
      </c>
      <c r="B68" s="126"/>
      <c r="C68" s="126"/>
      <c r="D68" s="126"/>
      <c r="E68" s="126"/>
      <c r="F68" s="126"/>
      <c r="G68" s="125" t="s">
        <v>1027</v>
      </c>
      <c r="H68" s="125" t="s">
        <v>1028</v>
      </c>
      <c r="I68" s="126"/>
      <c r="J68" s="126"/>
      <c r="K68" s="126"/>
      <c r="L68" s="126"/>
      <c r="M68" s="131"/>
      <c r="N68" s="131"/>
      <c r="O68" s="131"/>
      <c r="P68" s="125" t="s">
        <v>82</v>
      </c>
      <c r="Q68" s="126"/>
      <c r="R68" s="126"/>
      <c r="S68" s="126"/>
      <c r="T68" s="126"/>
      <c r="U68" s="126"/>
      <c r="V68" s="125" t="s">
        <v>682</v>
      </c>
      <c r="W68" s="125" t="s">
        <v>208</v>
      </c>
      <c r="X68" s="126"/>
    </row>
    <row r="69" spans="1:24" ht="10.5" customHeight="1" x14ac:dyDescent="0.25">
      <c r="A69" s="121">
        <v>68</v>
      </c>
      <c r="B69" s="126"/>
      <c r="C69" s="126"/>
      <c r="D69" s="126"/>
      <c r="E69" s="126"/>
      <c r="F69" s="126"/>
      <c r="G69" s="125" t="s">
        <v>1029</v>
      </c>
      <c r="H69" s="125" t="s">
        <v>1030</v>
      </c>
      <c r="I69" s="126"/>
      <c r="J69" s="126"/>
      <c r="K69" s="126"/>
      <c r="L69" s="126"/>
      <c r="M69" s="131"/>
      <c r="N69" s="131"/>
      <c r="O69" s="131"/>
      <c r="P69" s="125" t="s">
        <v>83</v>
      </c>
      <c r="Q69" s="126"/>
      <c r="R69" s="126"/>
      <c r="S69" s="126"/>
      <c r="T69" s="126"/>
      <c r="U69" s="126"/>
      <c r="V69" s="125" t="s">
        <v>681</v>
      </c>
      <c r="W69" s="125" t="s">
        <v>211</v>
      </c>
      <c r="X69" s="126"/>
    </row>
    <row r="70" spans="1:24" ht="10.5" customHeight="1" x14ac:dyDescent="0.25">
      <c r="A70" s="121">
        <v>69</v>
      </c>
      <c r="B70" s="126"/>
      <c r="C70" s="126"/>
      <c r="D70" s="126"/>
      <c r="E70" s="126"/>
      <c r="F70" s="126"/>
      <c r="G70" s="125" t="s">
        <v>1031</v>
      </c>
      <c r="H70" s="125" t="s">
        <v>1032</v>
      </c>
      <c r="I70" s="126"/>
      <c r="J70" s="126"/>
      <c r="K70" s="126"/>
      <c r="L70" s="126"/>
      <c r="M70" s="131"/>
      <c r="N70" s="131"/>
      <c r="O70" s="131"/>
      <c r="P70" s="125" t="s">
        <v>84</v>
      </c>
      <c r="Q70" s="126"/>
      <c r="R70" s="126"/>
      <c r="S70" s="126"/>
      <c r="T70" s="126"/>
      <c r="U70" s="126"/>
      <c r="V70" s="125" t="s">
        <v>680</v>
      </c>
      <c r="W70" s="125" t="s">
        <v>216</v>
      </c>
      <c r="X70" s="126"/>
    </row>
    <row r="71" spans="1:24" ht="10.5" customHeight="1" x14ac:dyDescent="0.25">
      <c r="A71" s="121">
        <v>70</v>
      </c>
      <c r="B71" s="126"/>
      <c r="C71" s="126"/>
      <c r="D71" s="126"/>
      <c r="E71" s="126"/>
      <c r="F71" s="126"/>
      <c r="G71" s="125" t="s">
        <v>1033</v>
      </c>
      <c r="H71" s="125" t="s">
        <v>1034</v>
      </c>
      <c r="I71" s="126"/>
      <c r="J71" s="126"/>
      <c r="K71" s="126"/>
      <c r="L71" s="126"/>
      <c r="M71" s="131"/>
      <c r="N71" s="131"/>
      <c r="O71" s="131"/>
      <c r="P71" s="125" t="s">
        <v>85</v>
      </c>
      <c r="Q71" s="126"/>
      <c r="R71" s="126"/>
      <c r="S71" s="126"/>
      <c r="T71" s="126"/>
      <c r="U71" s="126"/>
      <c r="V71" s="125" t="s">
        <v>679</v>
      </c>
      <c r="W71" s="125" t="s">
        <v>228</v>
      </c>
      <c r="X71" s="126"/>
    </row>
    <row r="72" spans="1:24" ht="10.5" customHeight="1" x14ac:dyDescent="0.25">
      <c r="A72" s="121">
        <v>71</v>
      </c>
      <c r="B72" s="126"/>
      <c r="C72" s="126"/>
      <c r="D72" s="126"/>
      <c r="E72" s="126"/>
      <c r="F72" s="126"/>
      <c r="G72" s="125" t="s">
        <v>1035</v>
      </c>
      <c r="H72" s="125" t="s">
        <v>1036</v>
      </c>
      <c r="I72" s="126"/>
      <c r="J72" s="126"/>
      <c r="K72" s="126"/>
      <c r="L72" s="126"/>
      <c r="M72" s="131"/>
      <c r="N72" s="131"/>
      <c r="O72" s="131"/>
      <c r="P72" s="125" t="s">
        <v>86</v>
      </c>
      <c r="Q72" s="126"/>
      <c r="R72" s="126"/>
      <c r="S72" s="126"/>
      <c r="T72" s="126"/>
      <c r="U72" s="126"/>
      <c r="V72" s="125" t="s">
        <v>678</v>
      </c>
      <c r="W72" s="125" t="s">
        <v>233</v>
      </c>
      <c r="X72" s="126"/>
    </row>
    <row r="73" spans="1:24" ht="10.5" customHeight="1" x14ac:dyDescent="0.25">
      <c r="A73" s="121">
        <v>72</v>
      </c>
      <c r="B73" s="126"/>
      <c r="C73" s="126"/>
      <c r="D73" s="126"/>
      <c r="E73" s="126"/>
      <c r="F73" s="126"/>
      <c r="G73" s="125" t="s">
        <v>1037</v>
      </c>
      <c r="H73" s="125" t="s">
        <v>1038</v>
      </c>
      <c r="I73" s="126"/>
      <c r="J73" s="126"/>
      <c r="K73" s="126"/>
      <c r="L73" s="126"/>
      <c r="M73" s="131"/>
      <c r="N73" s="131"/>
      <c r="O73" s="131"/>
      <c r="P73" s="125" t="s">
        <v>87</v>
      </c>
      <c r="Q73" s="126"/>
      <c r="R73" s="126"/>
      <c r="S73" s="126"/>
      <c r="T73" s="126"/>
      <c r="U73" s="126"/>
      <c r="V73" s="125" t="s">
        <v>677</v>
      </c>
      <c r="W73" s="125" t="s">
        <v>249</v>
      </c>
      <c r="X73" s="126"/>
    </row>
    <row r="74" spans="1:24" ht="10.5" customHeight="1" x14ac:dyDescent="0.25">
      <c r="A74" s="121">
        <v>73</v>
      </c>
      <c r="B74" s="126"/>
      <c r="C74" s="126"/>
      <c r="D74" s="126"/>
      <c r="E74" s="126"/>
      <c r="F74" s="126"/>
      <c r="G74" s="125" t="s">
        <v>1039</v>
      </c>
      <c r="H74" s="125" t="s">
        <v>1040</v>
      </c>
      <c r="I74" s="126"/>
      <c r="J74" s="126"/>
      <c r="K74" s="126"/>
      <c r="L74" s="126"/>
      <c r="M74" s="131"/>
      <c r="N74" s="131"/>
      <c r="O74" s="131"/>
      <c r="P74" s="125" t="s">
        <v>88</v>
      </c>
      <c r="Q74" s="126"/>
      <c r="R74" s="126"/>
      <c r="S74" s="126"/>
      <c r="T74" s="126"/>
      <c r="U74" s="126"/>
      <c r="V74" s="125" t="s">
        <v>676</v>
      </c>
      <c r="W74" s="125" t="s">
        <v>289</v>
      </c>
      <c r="X74" s="126"/>
    </row>
    <row r="75" spans="1:24" ht="10.5" customHeight="1" x14ac:dyDescent="0.25">
      <c r="A75" s="121">
        <v>74</v>
      </c>
      <c r="B75" s="126"/>
      <c r="C75" s="126"/>
      <c r="D75" s="126"/>
      <c r="E75" s="126"/>
      <c r="F75" s="126"/>
      <c r="G75" s="125" t="s">
        <v>1041</v>
      </c>
      <c r="H75" s="125" t="s">
        <v>1042</v>
      </c>
      <c r="I75" s="126"/>
      <c r="J75" s="126"/>
      <c r="K75" s="126"/>
      <c r="L75" s="126"/>
      <c r="M75" s="131"/>
      <c r="N75" s="131"/>
      <c r="O75" s="131"/>
      <c r="P75" s="125" t="s">
        <v>89</v>
      </c>
      <c r="Q75" s="126"/>
      <c r="R75" s="126"/>
      <c r="S75" s="126"/>
      <c r="T75" s="126"/>
      <c r="U75" s="126"/>
      <c r="V75" s="125" t="s">
        <v>675</v>
      </c>
      <c r="W75" s="125" t="s">
        <v>307</v>
      </c>
      <c r="X75" s="126"/>
    </row>
    <row r="76" spans="1:24" ht="10.5" customHeight="1" x14ac:dyDescent="0.25">
      <c r="A76" s="121">
        <v>75</v>
      </c>
      <c r="B76" s="126"/>
      <c r="C76" s="126"/>
      <c r="D76" s="126"/>
      <c r="E76" s="126"/>
      <c r="F76" s="126"/>
      <c r="G76" s="125" t="s">
        <v>1043</v>
      </c>
      <c r="H76" s="125" t="s">
        <v>1044</v>
      </c>
      <c r="I76" s="126"/>
      <c r="J76" s="126"/>
      <c r="K76" s="126"/>
      <c r="L76" s="126"/>
      <c r="M76" s="131"/>
      <c r="N76" s="131"/>
      <c r="O76" s="131"/>
      <c r="P76" s="125" t="s">
        <v>90</v>
      </c>
      <c r="Q76" s="126"/>
      <c r="R76" s="126"/>
      <c r="S76" s="126"/>
      <c r="T76" s="126"/>
      <c r="U76" s="126"/>
      <c r="V76" s="125" t="s">
        <v>674</v>
      </c>
      <c r="W76" s="125" t="s">
        <v>308</v>
      </c>
      <c r="X76" s="126"/>
    </row>
    <row r="77" spans="1:24" ht="10.5" customHeight="1" x14ac:dyDescent="0.25">
      <c r="A77" s="121">
        <v>76</v>
      </c>
      <c r="B77" s="126"/>
      <c r="C77" s="126"/>
      <c r="D77" s="126"/>
      <c r="E77" s="126"/>
      <c r="F77" s="126"/>
      <c r="G77" s="125" t="s">
        <v>1045</v>
      </c>
      <c r="H77" s="125" t="s">
        <v>1046</v>
      </c>
      <c r="I77" s="126"/>
      <c r="J77" s="126"/>
      <c r="K77" s="126"/>
      <c r="L77" s="126"/>
      <c r="M77" s="131"/>
      <c r="N77" s="131"/>
      <c r="O77" s="131"/>
      <c r="P77" s="125" t="s">
        <v>91</v>
      </c>
      <c r="Q77" s="126"/>
      <c r="R77" s="126"/>
      <c r="S77" s="126"/>
      <c r="T77" s="126"/>
      <c r="U77" s="126"/>
      <c r="V77" s="125" t="s">
        <v>673</v>
      </c>
      <c r="W77" s="125" t="s">
        <v>315</v>
      </c>
      <c r="X77" s="126"/>
    </row>
    <row r="78" spans="1:24" ht="10.5" customHeight="1" x14ac:dyDescent="0.25">
      <c r="A78" s="121">
        <v>77</v>
      </c>
      <c r="B78" s="126"/>
      <c r="C78" s="126"/>
      <c r="D78" s="126"/>
      <c r="E78" s="126"/>
      <c r="F78" s="126"/>
      <c r="G78" s="125" t="s">
        <v>1047</v>
      </c>
      <c r="H78" s="125" t="s">
        <v>1048</v>
      </c>
      <c r="I78" s="126"/>
      <c r="J78" s="126"/>
      <c r="K78" s="126"/>
      <c r="L78" s="126"/>
      <c r="M78" s="131"/>
      <c r="N78" s="131"/>
      <c r="O78" s="131"/>
      <c r="P78" s="125" t="s">
        <v>92</v>
      </c>
      <c r="Q78" s="126"/>
      <c r="R78" s="126"/>
      <c r="S78" s="126"/>
      <c r="T78" s="126"/>
      <c r="U78" s="126"/>
      <c r="V78" s="125" t="s">
        <v>672</v>
      </c>
      <c r="W78" s="125" t="s">
        <v>336</v>
      </c>
      <c r="X78" s="126"/>
    </row>
    <row r="79" spans="1:24" ht="10.5" customHeight="1" x14ac:dyDescent="0.25">
      <c r="A79" s="121">
        <v>78</v>
      </c>
      <c r="B79" s="126"/>
      <c r="C79" s="126"/>
      <c r="D79" s="126"/>
      <c r="E79" s="126"/>
      <c r="F79" s="126"/>
      <c r="G79" s="125" t="s">
        <v>1049</v>
      </c>
      <c r="H79" s="125" t="s">
        <v>1050</v>
      </c>
      <c r="I79" s="126"/>
      <c r="J79" s="126"/>
      <c r="K79" s="126"/>
      <c r="L79" s="126"/>
      <c r="M79" s="131"/>
      <c r="N79" s="131"/>
      <c r="O79" s="131"/>
      <c r="P79" s="125" t="s">
        <v>93</v>
      </c>
      <c r="Q79" s="126"/>
      <c r="R79" s="126"/>
      <c r="S79" s="126"/>
      <c r="T79" s="126"/>
      <c r="U79" s="126"/>
      <c r="V79" s="125" t="s">
        <v>671</v>
      </c>
      <c r="W79" s="125" t="s">
        <v>339</v>
      </c>
      <c r="X79" s="126"/>
    </row>
    <row r="80" spans="1:24" ht="10.5" customHeight="1" x14ac:dyDescent="0.25">
      <c r="A80" s="121">
        <v>79</v>
      </c>
      <c r="B80" s="126"/>
      <c r="C80" s="126"/>
      <c r="D80" s="126"/>
      <c r="E80" s="126"/>
      <c r="F80" s="126"/>
      <c r="G80" s="125" t="s">
        <v>1051</v>
      </c>
      <c r="H80" s="125" t="s">
        <v>1052</v>
      </c>
      <c r="I80" s="126"/>
      <c r="J80" s="126"/>
      <c r="K80" s="126"/>
      <c r="L80" s="126"/>
      <c r="M80" s="131"/>
      <c r="N80" s="131"/>
      <c r="O80" s="131"/>
      <c r="P80" s="125" t="s">
        <v>94</v>
      </c>
      <c r="Q80" s="126"/>
      <c r="R80" s="126"/>
      <c r="S80" s="126"/>
      <c r="T80" s="126"/>
      <c r="U80" s="126"/>
      <c r="V80" s="125" t="s">
        <v>670</v>
      </c>
      <c r="W80" s="125" t="s">
        <v>375</v>
      </c>
      <c r="X80" s="126"/>
    </row>
    <row r="81" spans="1:24" ht="10.5" customHeight="1" x14ac:dyDescent="0.25">
      <c r="A81" s="121">
        <v>80</v>
      </c>
      <c r="B81" s="126"/>
      <c r="C81" s="126"/>
      <c r="D81" s="126"/>
      <c r="E81" s="126"/>
      <c r="F81" s="126"/>
      <c r="G81" s="125" t="s">
        <v>1053</v>
      </c>
      <c r="H81" s="125" t="s">
        <v>1054</v>
      </c>
      <c r="I81" s="126"/>
      <c r="J81" s="126"/>
      <c r="K81" s="126"/>
      <c r="L81" s="126"/>
      <c r="M81" s="131"/>
      <c r="N81" s="131"/>
      <c r="O81" s="131"/>
      <c r="P81" s="125" t="s">
        <v>95</v>
      </c>
      <c r="Q81" s="126"/>
      <c r="R81" s="126"/>
      <c r="S81" s="126"/>
      <c r="T81" s="126"/>
      <c r="U81" s="126"/>
      <c r="V81" s="125" t="s">
        <v>669</v>
      </c>
      <c r="W81" s="125" t="s">
        <v>421</v>
      </c>
      <c r="X81" s="126"/>
    </row>
    <row r="82" spans="1:24" ht="10.5" customHeight="1" x14ac:dyDescent="0.25">
      <c r="A82" s="121">
        <v>81</v>
      </c>
      <c r="B82" s="126"/>
      <c r="C82" s="126"/>
      <c r="D82" s="126"/>
      <c r="E82" s="126"/>
      <c r="F82" s="126"/>
      <c r="G82" s="125" t="s">
        <v>1055</v>
      </c>
      <c r="H82" s="125" t="s">
        <v>1056</v>
      </c>
      <c r="I82" s="126"/>
      <c r="J82" s="126"/>
      <c r="K82" s="126"/>
      <c r="L82" s="126"/>
      <c r="M82" s="131"/>
      <c r="N82" s="131"/>
      <c r="O82" s="131"/>
      <c r="P82" s="125" t="s">
        <v>96</v>
      </c>
      <c r="Q82" s="126"/>
      <c r="R82" s="126"/>
      <c r="S82" s="126"/>
      <c r="T82" s="126"/>
      <c r="U82" s="126"/>
      <c r="V82" s="125" t="s">
        <v>668</v>
      </c>
      <c r="W82" s="125" t="s">
        <v>429</v>
      </c>
      <c r="X82" s="126"/>
    </row>
    <row r="83" spans="1:24" ht="10.5" customHeight="1" x14ac:dyDescent="0.25">
      <c r="A83" s="121">
        <v>82</v>
      </c>
      <c r="B83" s="126"/>
      <c r="C83" s="126"/>
      <c r="D83" s="126"/>
      <c r="E83" s="126"/>
      <c r="F83" s="126"/>
      <c r="G83" s="125" t="s">
        <v>1057</v>
      </c>
      <c r="H83" s="125" t="s">
        <v>798</v>
      </c>
      <c r="I83" s="126"/>
      <c r="J83" s="126"/>
      <c r="K83" s="126"/>
      <c r="L83" s="126"/>
      <c r="M83" s="131"/>
      <c r="N83" s="131"/>
      <c r="O83" s="131"/>
      <c r="P83" s="125" t="s">
        <v>97</v>
      </c>
      <c r="Q83" s="126"/>
      <c r="R83" s="126"/>
      <c r="S83" s="126"/>
      <c r="T83" s="126"/>
      <c r="U83" s="126"/>
      <c r="V83" s="125" t="s">
        <v>667</v>
      </c>
      <c r="W83" s="125" t="s">
        <v>188</v>
      </c>
      <c r="X83" s="126"/>
    </row>
    <row r="84" spans="1:24" ht="10.5" customHeight="1" x14ac:dyDescent="0.25">
      <c r="A84" s="121">
        <v>83</v>
      </c>
      <c r="B84" s="126"/>
      <c r="C84" s="126"/>
      <c r="D84" s="126"/>
      <c r="E84" s="126"/>
      <c r="F84" s="126"/>
      <c r="G84" s="125" t="s">
        <v>1058</v>
      </c>
      <c r="H84" s="125" t="s">
        <v>1059</v>
      </c>
      <c r="I84" s="126"/>
      <c r="J84" s="126"/>
      <c r="K84" s="126"/>
      <c r="L84" s="126"/>
      <c r="M84" s="131"/>
      <c r="N84" s="131"/>
      <c r="O84" s="131"/>
      <c r="P84" s="125" t="s">
        <v>99</v>
      </c>
      <c r="Q84" s="126"/>
      <c r="R84" s="126"/>
      <c r="S84" s="126"/>
      <c r="T84" s="126"/>
      <c r="U84" s="126"/>
      <c r="V84" s="125" t="s">
        <v>666</v>
      </c>
      <c r="W84" s="125" t="s">
        <v>189</v>
      </c>
      <c r="X84" s="126"/>
    </row>
    <row r="85" spans="1:24" ht="10.5" customHeight="1" x14ac:dyDescent="0.25">
      <c r="A85" s="121">
        <v>84</v>
      </c>
      <c r="B85" s="126"/>
      <c r="C85" s="126"/>
      <c r="D85" s="126"/>
      <c r="E85" s="126"/>
      <c r="F85" s="126"/>
      <c r="G85" s="125" t="s">
        <v>1060</v>
      </c>
      <c r="H85" s="125" t="s">
        <v>1061</v>
      </c>
      <c r="I85" s="126"/>
      <c r="J85" s="126"/>
      <c r="K85" s="126"/>
      <c r="L85" s="126"/>
      <c r="M85" s="131"/>
      <c r="N85" s="131"/>
      <c r="O85" s="131"/>
      <c r="P85" s="125" t="s">
        <v>100</v>
      </c>
      <c r="Q85" s="126"/>
      <c r="R85" s="126"/>
      <c r="S85" s="126"/>
      <c r="T85" s="126"/>
      <c r="U85" s="126"/>
      <c r="V85" s="125" t="s">
        <v>665</v>
      </c>
      <c r="W85" s="125" t="s">
        <v>192</v>
      </c>
      <c r="X85" s="126"/>
    </row>
    <row r="86" spans="1:24" ht="10.5" customHeight="1" x14ac:dyDescent="0.25">
      <c r="A86" s="121">
        <v>85</v>
      </c>
      <c r="B86" s="126"/>
      <c r="C86" s="126"/>
      <c r="D86" s="126"/>
      <c r="E86" s="126"/>
      <c r="F86" s="126"/>
      <c r="G86" s="125" t="s">
        <v>1062</v>
      </c>
      <c r="H86" s="125" t="s">
        <v>1063</v>
      </c>
      <c r="I86" s="126"/>
      <c r="J86" s="126"/>
      <c r="K86" s="126"/>
      <c r="L86" s="126"/>
      <c r="M86" s="131"/>
      <c r="N86" s="131"/>
      <c r="O86" s="131"/>
      <c r="P86" s="125" t="s">
        <v>101</v>
      </c>
      <c r="Q86" s="126"/>
      <c r="R86" s="126"/>
      <c r="S86" s="126"/>
      <c r="T86" s="126"/>
      <c r="U86" s="126"/>
      <c r="V86" s="125" t="s">
        <v>664</v>
      </c>
      <c r="W86" s="125" t="s">
        <v>193</v>
      </c>
      <c r="X86" s="126"/>
    </row>
    <row r="87" spans="1:24" ht="10.5" customHeight="1" x14ac:dyDescent="0.25">
      <c r="A87" s="121">
        <v>86</v>
      </c>
      <c r="B87" s="126"/>
      <c r="C87" s="126"/>
      <c r="D87" s="126"/>
      <c r="E87" s="126"/>
      <c r="F87" s="126"/>
      <c r="G87" s="125" t="s">
        <v>1064</v>
      </c>
      <c r="H87" s="125" t="s">
        <v>1065</v>
      </c>
      <c r="I87" s="126"/>
      <c r="J87" s="126"/>
      <c r="K87" s="126"/>
      <c r="L87" s="126"/>
      <c r="M87" s="131"/>
      <c r="N87" s="131"/>
      <c r="O87" s="131"/>
      <c r="P87" s="125" t="s">
        <v>102</v>
      </c>
      <c r="Q87" s="126"/>
      <c r="R87" s="126"/>
      <c r="S87" s="126"/>
      <c r="T87" s="126"/>
      <c r="U87" s="126"/>
      <c r="V87" s="125" t="s">
        <v>663</v>
      </c>
      <c r="W87" s="125" t="s">
        <v>194</v>
      </c>
      <c r="X87" s="126"/>
    </row>
    <row r="88" spans="1:24" ht="10.5" customHeight="1" x14ac:dyDescent="0.25">
      <c r="A88" s="121">
        <v>87</v>
      </c>
      <c r="B88" s="126"/>
      <c r="C88" s="126"/>
      <c r="D88" s="126"/>
      <c r="E88" s="126"/>
      <c r="F88" s="126"/>
      <c r="G88" s="125" t="s">
        <v>1066</v>
      </c>
      <c r="H88" s="125" t="s">
        <v>1067</v>
      </c>
      <c r="I88" s="126"/>
      <c r="J88" s="126"/>
      <c r="K88" s="126"/>
      <c r="L88" s="126"/>
      <c r="M88" s="131"/>
      <c r="N88" s="131"/>
      <c r="O88" s="131"/>
      <c r="P88" s="125" t="s">
        <v>103</v>
      </c>
      <c r="Q88" s="126"/>
      <c r="R88" s="126"/>
      <c r="S88" s="126"/>
      <c r="T88" s="126"/>
      <c r="U88" s="126"/>
      <c r="V88" s="125" t="s">
        <v>662</v>
      </c>
      <c r="W88" s="125" t="s">
        <v>195</v>
      </c>
      <c r="X88" s="126"/>
    </row>
    <row r="89" spans="1:24" ht="10.5" customHeight="1" x14ac:dyDescent="0.25">
      <c r="A89" s="121">
        <v>88</v>
      </c>
      <c r="B89" s="126"/>
      <c r="C89" s="126"/>
      <c r="D89" s="126"/>
      <c r="E89" s="126"/>
      <c r="F89" s="126"/>
      <c r="G89" s="125" t="s">
        <v>1068</v>
      </c>
      <c r="H89" s="125" t="s">
        <v>817</v>
      </c>
      <c r="I89" s="126"/>
      <c r="J89" s="126"/>
      <c r="K89" s="126"/>
      <c r="L89" s="126"/>
      <c r="M89" s="131"/>
      <c r="N89" s="131"/>
      <c r="O89" s="131"/>
      <c r="P89" s="125" t="s">
        <v>104</v>
      </c>
      <c r="Q89" s="126"/>
      <c r="R89" s="126"/>
      <c r="S89" s="126"/>
      <c r="T89" s="126"/>
      <c r="U89" s="126"/>
      <c r="V89" s="125" t="s">
        <v>661</v>
      </c>
      <c r="W89" s="125" t="s">
        <v>196</v>
      </c>
      <c r="X89" s="126"/>
    </row>
    <row r="90" spans="1:24" ht="10.5" customHeight="1" x14ac:dyDescent="0.25">
      <c r="A90" s="121">
        <v>89</v>
      </c>
      <c r="B90" s="126"/>
      <c r="C90" s="126"/>
      <c r="D90" s="126"/>
      <c r="E90" s="126"/>
      <c r="F90" s="126"/>
      <c r="G90" s="125" t="s">
        <v>1069</v>
      </c>
      <c r="H90" s="125" t="s">
        <v>814</v>
      </c>
      <c r="I90" s="126"/>
      <c r="J90" s="126"/>
      <c r="K90" s="126"/>
      <c r="L90" s="126"/>
      <c r="M90" s="131"/>
      <c r="N90" s="131"/>
      <c r="O90" s="131"/>
      <c r="P90" s="125" t="s">
        <v>105</v>
      </c>
      <c r="Q90" s="126"/>
      <c r="R90" s="126"/>
      <c r="S90" s="126"/>
      <c r="T90" s="126"/>
      <c r="U90" s="126"/>
      <c r="V90" s="125" t="s">
        <v>660</v>
      </c>
      <c r="W90" s="125" t="s">
        <v>199</v>
      </c>
      <c r="X90" s="126"/>
    </row>
    <row r="91" spans="1:24" ht="10.5" customHeight="1" x14ac:dyDescent="0.25">
      <c r="A91" s="121">
        <v>90</v>
      </c>
      <c r="B91" s="126"/>
      <c r="C91" s="126"/>
      <c r="D91" s="126"/>
      <c r="E91" s="126"/>
      <c r="F91" s="126"/>
      <c r="G91" s="125" t="s">
        <v>1070</v>
      </c>
      <c r="H91" s="125" t="s">
        <v>1071</v>
      </c>
      <c r="I91" s="126"/>
      <c r="J91" s="126"/>
      <c r="K91" s="126"/>
      <c r="L91" s="126"/>
      <c r="M91" s="131"/>
      <c r="N91" s="131"/>
      <c r="O91" s="131"/>
      <c r="P91" s="125" t="s">
        <v>106</v>
      </c>
      <c r="Q91" s="126"/>
      <c r="R91" s="126"/>
      <c r="S91" s="126"/>
      <c r="T91" s="126"/>
      <c r="U91" s="126"/>
      <c r="V91" s="125" t="s">
        <v>659</v>
      </c>
      <c r="W91" s="125" t="s">
        <v>203</v>
      </c>
      <c r="X91" s="126"/>
    </row>
    <row r="92" spans="1:24" ht="10.5" customHeight="1" x14ac:dyDescent="0.25">
      <c r="A92" s="121">
        <v>91</v>
      </c>
      <c r="B92" s="126"/>
      <c r="C92" s="126"/>
      <c r="D92" s="126"/>
      <c r="E92" s="126"/>
      <c r="F92" s="126"/>
      <c r="G92" s="125" t="s">
        <v>1072</v>
      </c>
      <c r="H92" s="125" t="s">
        <v>1073</v>
      </c>
      <c r="I92" s="126"/>
      <c r="J92" s="126"/>
      <c r="K92" s="126"/>
      <c r="L92" s="126"/>
      <c r="M92" s="131"/>
      <c r="N92" s="131"/>
      <c r="O92" s="131"/>
      <c r="P92" s="125" t="s">
        <v>107</v>
      </c>
      <c r="Q92" s="126"/>
      <c r="R92" s="126"/>
      <c r="S92" s="126"/>
      <c r="T92" s="126"/>
      <c r="U92" s="126"/>
      <c r="V92" s="125" t="s">
        <v>658</v>
      </c>
      <c r="W92" s="125" t="s">
        <v>204</v>
      </c>
      <c r="X92" s="126"/>
    </row>
    <row r="93" spans="1:24" ht="10.5" customHeight="1" x14ac:dyDescent="0.25">
      <c r="A93" s="121">
        <v>92</v>
      </c>
      <c r="B93" s="126"/>
      <c r="C93" s="126"/>
      <c r="D93" s="126"/>
      <c r="E93" s="126"/>
      <c r="F93" s="126"/>
      <c r="G93" s="125" t="s">
        <v>1074</v>
      </c>
      <c r="H93" s="125" t="s">
        <v>1075</v>
      </c>
      <c r="I93" s="126"/>
      <c r="J93" s="126"/>
      <c r="K93" s="126"/>
      <c r="L93" s="126"/>
      <c r="M93" s="131"/>
      <c r="N93" s="131"/>
      <c r="O93" s="131"/>
      <c r="P93" s="125" t="s">
        <v>108</v>
      </c>
      <c r="Q93" s="126"/>
      <c r="R93" s="126"/>
      <c r="S93" s="126"/>
      <c r="T93" s="126"/>
      <c r="U93" s="126"/>
      <c r="V93" s="125" t="s">
        <v>657</v>
      </c>
      <c r="W93" s="125" t="s">
        <v>206</v>
      </c>
      <c r="X93" s="126"/>
    </row>
    <row r="94" spans="1:24" ht="10.5" customHeight="1" x14ac:dyDescent="0.25">
      <c r="A94" s="121">
        <v>93</v>
      </c>
      <c r="B94" s="126"/>
      <c r="C94" s="126"/>
      <c r="D94" s="126"/>
      <c r="E94" s="126"/>
      <c r="F94" s="126"/>
      <c r="G94" s="125" t="s">
        <v>1076</v>
      </c>
      <c r="H94" s="125" t="s">
        <v>1077</v>
      </c>
      <c r="I94" s="126"/>
      <c r="J94" s="126"/>
      <c r="K94" s="126"/>
      <c r="L94" s="126"/>
      <c r="M94" s="131"/>
      <c r="N94" s="131"/>
      <c r="O94" s="131"/>
      <c r="P94" s="125" t="s">
        <v>109</v>
      </c>
      <c r="Q94" s="126"/>
      <c r="R94" s="126"/>
      <c r="S94" s="126"/>
      <c r="T94" s="126"/>
      <c r="U94" s="126"/>
      <c r="V94" s="125" t="s">
        <v>656</v>
      </c>
      <c r="W94" s="125" t="s">
        <v>209</v>
      </c>
      <c r="X94" s="126"/>
    </row>
    <row r="95" spans="1:24" ht="10.5" customHeight="1" x14ac:dyDescent="0.25">
      <c r="A95" s="121">
        <v>94</v>
      </c>
      <c r="B95" s="126"/>
      <c r="C95" s="126"/>
      <c r="D95" s="126"/>
      <c r="E95" s="126"/>
      <c r="F95" s="126"/>
      <c r="G95" s="125" t="s">
        <v>1078</v>
      </c>
      <c r="H95" s="125" t="s">
        <v>1079</v>
      </c>
      <c r="I95" s="126"/>
      <c r="J95" s="126"/>
      <c r="K95" s="126"/>
      <c r="L95" s="126"/>
      <c r="M95" s="131"/>
      <c r="N95" s="131"/>
      <c r="O95" s="131"/>
      <c r="P95" s="125" t="s">
        <v>110</v>
      </c>
      <c r="Q95" s="126"/>
      <c r="R95" s="126"/>
      <c r="S95" s="126"/>
      <c r="T95" s="126"/>
      <c r="U95" s="126"/>
      <c r="V95" s="125" t="s">
        <v>655</v>
      </c>
      <c r="W95" s="125" t="s">
        <v>210</v>
      </c>
      <c r="X95" s="126"/>
    </row>
    <row r="96" spans="1:24" ht="10.5" customHeight="1" x14ac:dyDescent="0.25">
      <c r="A96" s="121">
        <v>95</v>
      </c>
      <c r="B96" s="126"/>
      <c r="C96" s="126"/>
      <c r="D96" s="126"/>
      <c r="E96" s="126"/>
      <c r="F96" s="126"/>
      <c r="G96" s="125" t="s">
        <v>1080</v>
      </c>
      <c r="H96" s="125" t="s">
        <v>1081</v>
      </c>
      <c r="I96" s="126"/>
      <c r="J96" s="126"/>
      <c r="K96" s="126"/>
      <c r="L96" s="126"/>
      <c r="M96" s="131"/>
      <c r="N96" s="131"/>
      <c r="O96" s="131"/>
      <c r="P96" s="125" t="s">
        <v>111</v>
      </c>
      <c r="Q96" s="126"/>
      <c r="R96" s="126"/>
      <c r="S96" s="126"/>
      <c r="T96" s="126"/>
      <c r="U96" s="126"/>
      <c r="V96" s="125" t="s">
        <v>654</v>
      </c>
      <c r="W96" s="125" t="s">
        <v>212</v>
      </c>
      <c r="X96" s="126"/>
    </row>
    <row r="97" spans="1:24" ht="10.5" customHeight="1" x14ac:dyDescent="0.25">
      <c r="A97" s="121">
        <v>96</v>
      </c>
      <c r="B97" s="126"/>
      <c r="C97" s="126"/>
      <c r="D97" s="126"/>
      <c r="E97" s="126"/>
      <c r="F97" s="126"/>
      <c r="G97" s="125" t="s">
        <v>1082</v>
      </c>
      <c r="H97" s="125" t="s">
        <v>1083</v>
      </c>
      <c r="I97" s="126"/>
      <c r="J97" s="126"/>
      <c r="K97" s="126"/>
      <c r="L97" s="126"/>
      <c r="M97" s="131"/>
      <c r="N97" s="131"/>
      <c r="O97" s="131"/>
      <c r="P97" s="125" t="s">
        <v>112</v>
      </c>
      <c r="Q97" s="126"/>
      <c r="R97" s="126"/>
      <c r="S97" s="126"/>
      <c r="T97" s="126"/>
      <c r="U97" s="126"/>
      <c r="V97" s="125" t="s">
        <v>653</v>
      </c>
      <c r="W97" s="125" t="s">
        <v>213</v>
      </c>
      <c r="X97" s="126"/>
    </row>
    <row r="98" spans="1:24" ht="10.5" customHeight="1" x14ac:dyDescent="0.25">
      <c r="A98" s="121">
        <v>97</v>
      </c>
      <c r="B98" s="126"/>
      <c r="C98" s="126"/>
      <c r="D98" s="126"/>
      <c r="E98" s="126"/>
      <c r="F98" s="126"/>
      <c r="G98" s="125" t="s">
        <v>1084</v>
      </c>
      <c r="H98" s="125" t="s">
        <v>813</v>
      </c>
      <c r="I98" s="126"/>
      <c r="J98" s="126"/>
      <c r="K98" s="126"/>
      <c r="L98" s="126"/>
      <c r="M98" s="131"/>
      <c r="N98" s="131"/>
      <c r="O98" s="131"/>
      <c r="P98" s="125" t="s">
        <v>113</v>
      </c>
      <c r="Q98" s="126"/>
      <c r="R98" s="126"/>
      <c r="S98" s="126"/>
      <c r="T98" s="126"/>
      <c r="U98" s="126"/>
      <c r="V98" s="125" t="s">
        <v>652</v>
      </c>
      <c r="W98" s="125" t="s">
        <v>214</v>
      </c>
      <c r="X98" s="126"/>
    </row>
    <row r="99" spans="1:24" ht="10.5" customHeight="1" x14ac:dyDescent="0.25">
      <c r="A99" s="121">
        <v>98</v>
      </c>
      <c r="B99" s="126"/>
      <c r="C99" s="126"/>
      <c r="D99" s="126"/>
      <c r="E99" s="126"/>
      <c r="F99" s="126"/>
      <c r="G99" s="125" t="s">
        <v>1085</v>
      </c>
      <c r="H99" s="125" t="s">
        <v>1086</v>
      </c>
      <c r="I99" s="126"/>
      <c r="J99" s="126"/>
      <c r="K99" s="126"/>
      <c r="L99" s="126"/>
      <c r="M99" s="131"/>
      <c r="N99" s="131"/>
      <c r="O99" s="131"/>
      <c r="P99" s="125" t="s">
        <v>114</v>
      </c>
      <c r="Q99" s="126"/>
      <c r="R99" s="126"/>
      <c r="S99" s="126"/>
      <c r="T99" s="126"/>
      <c r="U99" s="126"/>
      <c r="V99" s="125" t="s">
        <v>651</v>
      </c>
      <c r="W99" s="125" t="s">
        <v>215</v>
      </c>
      <c r="X99" s="126"/>
    </row>
    <row r="100" spans="1:24" ht="10.5" customHeight="1" x14ac:dyDescent="0.25">
      <c r="A100" s="121">
        <v>99</v>
      </c>
      <c r="B100" s="126"/>
      <c r="C100" s="126"/>
      <c r="D100" s="126"/>
      <c r="E100" s="126"/>
      <c r="F100" s="126"/>
      <c r="G100" s="125" t="s">
        <v>1087</v>
      </c>
      <c r="H100" s="125" t="s">
        <v>1088</v>
      </c>
      <c r="I100" s="126"/>
      <c r="J100" s="126"/>
      <c r="K100" s="126"/>
      <c r="L100" s="126"/>
      <c r="M100" s="131"/>
      <c r="N100" s="131"/>
      <c r="O100" s="131"/>
      <c r="P100" s="125" t="s">
        <v>115</v>
      </c>
      <c r="Q100" s="126"/>
      <c r="R100" s="126"/>
      <c r="S100" s="126"/>
      <c r="T100" s="126"/>
      <c r="U100" s="126"/>
      <c r="V100" s="125" t="s">
        <v>650</v>
      </c>
      <c r="W100" s="125" t="s">
        <v>217</v>
      </c>
      <c r="X100" s="126"/>
    </row>
    <row r="101" spans="1:24" ht="10.5" customHeight="1" x14ac:dyDescent="0.25">
      <c r="A101" s="121">
        <v>100</v>
      </c>
      <c r="B101" s="126"/>
      <c r="C101" s="126"/>
      <c r="D101" s="126"/>
      <c r="E101" s="126"/>
      <c r="F101" s="126"/>
      <c r="G101" s="125" t="s">
        <v>1089</v>
      </c>
      <c r="H101" s="125" t="s">
        <v>802</v>
      </c>
      <c r="I101" s="126"/>
      <c r="J101" s="126"/>
      <c r="K101" s="126"/>
      <c r="L101" s="126"/>
      <c r="M101" s="131"/>
      <c r="N101" s="131"/>
      <c r="O101" s="131"/>
      <c r="P101" s="125" t="s">
        <v>116</v>
      </c>
      <c r="Q101" s="126"/>
      <c r="R101" s="126"/>
      <c r="S101" s="126"/>
      <c r="T101" s="126"/>
      <c r="U101" s="126"/>
      <c r="V101" s="125" t="s">
        <v>649</v>
      </c>
      <c r="W101" s="125" t="s">
        <v>218</v>
      </c>
      <c r="X101" s="126"/>
    </row>
    <row r="102" spans="1:24" ht="10.5" customHeight="1" x14ac:dyDescent="0.25">
      <c r="A102" s="121">
        <v>101</v>
      </c>
      <c r="B102" s="126"/>
      <c r="C102" s="126"/>
      <c r="D102" s="126"/>
      <c r="E102" s="126"/>
      <c r="F102" s="126"/>
      <c r="G102" s="125" t="s">
        <v>1090</v>
      </c>
      <c r="H102" s="125" t="s">
        <v>1091</v>
      </c>
      <c r="I102" s="126"/>
      <c r="J102" s="126"/>
      <c r="K102" s="126"/>
      <c r="L102" s="126"/>
      <c r="M102" s="131"/>
      <c r="N102" s="131"/>
      <c r="O102" s="131"/>
      <c r="P102" s="125" t="s">
        <v>117</v>
      </c>
      <c r="Q102" s="126"/>
      <c r="R102" s="126"/>
      <c r="S102" s="126"/>
      <c r="T102" s="126"/>
      <c r="U102" s="126"/>
      <c r="V102" s="125" t="s">
        <v>648</v>
      </c>
      <c r="W102" s="125" t="s">
        <v>219</v>
      </c>
      <c r="X102" s="126"/>
    </row>
    <row r="103" spans="1:24" ht="10.5" customHeight="1" x14ac:dyDescent="0.25">
      <c r="A103" s="121">
        <v>102</v>
      </c>
      <c r="B103" s="126"/>
      <c r="C103" s="126"/>
      <c r="D103" s="126"/>
      <c r="E103" s="126"/>
      <c r="F103" s="126"/>
      <c r="G103" s="125" t="s">
        <v>1092</v>
      </c>
      <c r="H103" s="125" t="s">
        <v>1093</v>
      </c>
      <c r="I103" s="126"/>
      <c r="J103" s="126"/>
      <c r="K103" s="126"/>
      <c r="L103" s="126"/>
      <c r="M103" s="131"/>
      <c r="N103" s="131"/>
      <c r="O103" s="131"/>
      <c r="P103" s="125" t="s">
        <v>118</v>
      </c>
      <c r="Q103" s="126"/>
      <c r="R103" s="126"/>
      <c r="S103" s="126"/>
      <c r="T103" s="126"/>
      <c r="U103" s="126"/>
      <c r="V103" s="125" t="s">
        <v>647</v>
      </c>
      <c r="W103" s="125" t="s">
        <v>221</v>
      </c>
      <c r="X103" s="126"/>
    </row>
    <row r="104" spans="1:24" ht="10.5" customHeight="1" x14ac:dyDescent="0.25">
      <c r="A104" s="121">
        <v>103</v>
      </c>
      <c r="B104" s="126"/>
      <c r="C104" s="126"/>
      <c r="D104" s="126"/>
      <c r="E104" s="126"/>
      <c r="F104" s="126"/>
      <c r="G104" s="125" t="s">
        <v>1094</v>
      </c>
      <c r="H104" s="125" t="s">
        <v>1095</v>
      </c>
      <c r="I104" s="126"/>
      <c r="J104" s="126"/>
      <c r="K104" s="126"/>
      <c r="L104" s="126"/>
      <c r="M104" s="131"/>
      <c r="N104" s="131"/>
      <c r="O104" s="131"/>
      <c r="P104" s="125" t="s">
        <v>119</v>
      </c>
      <c r="Q104" s="126"/>
      <c r="R104" s="126"/>
      <c r="S104" s="126"/>
      <c r="T104" s="126"/>
      <c r="U104" s="126"/>
      <c r="V104" s="125" t="s">
        <v>646</v>
      </c>
      <c r="W104" s="125" t="s">
        <v>223</v>
      </c>
      <c r="X104" s="126"/>
    </row>
    <row r="105" spans="1:24" ht="10.5" customHeight="1" x14ac:dyDescent="0.25">
      <c r="A105" s="121">
        <v>104</v>
      </c>
      <c r="B105" s="126"/>
      <c r="C105" s="126"/>
      <c r="D105" s="126"/>
      <c r="E105" s="126"/>
      <c r="F105" s="126"/>
      <c r="G105" s="125" t="s">
        <v>1096</v>
      </c>
      <c r="H105" s="125" t="s">
        <v>1097</v>
      </c>
      <c r="I105" s="126"/>
      <c r="J105" s="126"/>
      <c r="K105" s="126"/>
      <c r="L105" s="126"/>
      <c r="M105" s="131"/>
      <c r="N105" s="131"/>
      <c r="O105" s="131"/>
      <c r="P105" s="125" t="s">
        <v>120</v>
      </c>
      <c r="Q105" s="126"/>
      <c r="R105" s="126"/>
      <c r="S105" s="126"/>
      <c r="T105" s="126"/>
      <c r="U105" s="126"/>
      <c r="V105" s="125" t="s">
        <v>645</v>
      </c>
      <c r="W105" s="125" t="s">
        <v>224</v>
      </c>
      <c r="X105" s="126"/>
    </row>
    <row r="106" spans="1:24" ht="10.5" customHeight="1" x14ac:dyDescent="0.25">
      <c r="A106" s="121">
        <v>105</v>
      </c>
      <c r="B106" s="126"/>
      <c r="C106" s="126"/>
      <c r="D106" s="126"/>
      <c r="E106" s="126"/>
      <c r="F106" s="126"/>
      <c r="G106" s="125" t="s">
        <v>1098</v>
      </c>
      <c r="H106" s="125" t="s">
        <v>1099</v>
      </c>
      <c r="I106" s="126"/>
      <c r="J106" s="126"/>
      <c r="K106" s="126"/>
      <c r="L106" s="126"/>
      <c r="M106" s="131"/>
      <c r="N106" s="131"/>
      <c r="O106" s="131"/>
      <c r="P106" s="125" t="s">
        <v>121</v>
      </c>
      <c r="Q106" s="126"/>
      <c r="R106" s="126"/>
      <c r="S106" s="126"/>
      <c r="T106" s="126"/>
      <c r="U106" s="126"/>
      <c r="V106" s="125" t="s">
        <v>644</v>
      </c>
      <c r="W106" s="125" t="s">
        <v>225</v>
      </c>
      <c r="X106" s="126"/>
    </row>
    <row r="107" spans="1:24" ht="10.5" customHeight="1" x14ac:dyDescent="0.25">
      <c r="A107" s="121">
        <v>106</v>
      </c>
      <c r="B107" s="126"/>
      <c r="C107" s="126"/>
      <c r="D107" s="126"/>
      <c r="E107" s="126"/>
      <c r="F107" s="126"/>
      <c r="G107" s="125" t="s">
        <v>1100</v>
      </c>
      <c r="H107" s="125" t="s">
        <v>1101</v>
      </c>
      <c r="I107" s="126"/>
      <c r="J107" s="126"/>
      <c r="K107" s="126"/>
      <c r="L107" s="126"/>
      <c r="M107" s="131"/>
      <c r="N107" s="131"/>
      <c r="O107" s="131"/>
      <c r="P107" s="125" t="s">
        <v>122</v>
      </c>
      <c r="Q107" s="126"/>
      <c r="R107" s="126"/>
      <c r="S107" s="126"/>
      <c r="T107" s="126"/>
      <c r="U107" s="126"/>
      <c r="V107" s="125" t="s">
        <v>643</v>
      </c>
      <c r="W107" s="125" t="s">
        <v>226</v>
      </c>
      <c r="X107" s="126"/>
    </row>
    <row r="108" spans="1:24" ht="10.5" customHeight="1" x14ac:dyDescent="0.25">
      <c r="A108" s="121">
        <v>107</v>
      </c>
      <c r="B108" s="126"/>
      <c r="C108" s="126"/>
      <c r="D108" s="126"/>
      <c r="E108" s="126"/>
      <c r="F108" s="126"/>
      <c r="G108" s="125" t="s">
        <v>1102</v>
      </c>
      <c r="H108" s="125" t="s">
        <v>1103</v>
      </c>
      <c r="I108" s="126"/>
      <c r="J108" s="126"/>
      <c r="K108" s="126"/>
      <c r="L108" s="126"/>
      <c r="M108" s="131"/>
      <c r="N108" s="131"/>
      <c r="O108" s="131"/>
      <c r="P108" s="125" t="s">
        <v>123</v>
      </c>
      <c r="Q108" s="126"/>
      <c r="R108" s="126"/>
      <c r="S108" s="126"/>
      <c r="T108" s="126"/>
      <c r="U108" s="126"/>
      <c r="V108" s="125" t="s">
        <v>642</v>
      </c>
      <c r="W108" s="125" t="s">
        <v>229</v>
      </c>
      <c r="X108" s="126"/>
    </row>
    <row r="109" spans="1:24" ht="10.5" customHeight="1" x14ac:dyDescent="0.25">
      <c r="A109" s="121">
        <v>108</v>
      </c>
      <c r="B109" s="126"/>
      <c r="C109" s="126"/>
      <c r="D109" s="126"/>
      <c r="E109" s="126"/>
      <c r="F109" s="126"/>
      <c r="G109" s="125" t="s">
        <v>1104</v>
      </c>
      <c r="H109" s="125" t="s">
        <v>1105</v>
      </c>
      <c r="I109" s="126"/>
      <c r="J109" s="126"/>
      <c r="K109" s="126"/>
      <c r="L109" s="126"/>
      <c r="M109" s="131"/>
      <c r="N109" s="131"/>
      <c r="O109" s="131"/>
      <c r="P109" s="125" t="s">
        <v>124</v>
      </c>
      <c r="Q109" s="126"/>
      <c r="R109" s="126"/>
      <c r="S109" s="126"/>
      <c r="T109" s="126"/>
      <c r="U109" s="126"/>
      <c r="V109" s="125" t="s">
        <v>641</v>
      </c>
      <c r="W109" s="125" t="s">
        <v>230</v>
      </c>
      <c r="X109" s="126"/>
    </row>
    <row r="110" spans="1:24" ht="10.5" customHeight="1" x14ac:dyDescent="0.25">
      <c r="A110" s="121">
        <v>109</v>
      </c>
      <c r="B110" s="126"/>
      <c r="C110" s="126"/>
      <c r="D110" s="126"/>
      <c r="E110" s="126"/>
      <c r="F110" s="126"/>
      <c r="G110" s="125" t="s">
        <v>1106</v>
      </c>
      <c r="H110" s="125" t="s">
        <v>1107</v>
      </c>
      <c r="I110" s="126"/>
      <c r="J110" s="126"/>
      <c r="K110" s="126"/>
      <c r="L110" s="126"/>
      <c r="M110" s="131"/>
      <c r="N110" s="131"/>
      <c r="O110" s="131"/>
      <c r="P110" s="125" t="s">
        <v>125</v>
      </c>
      <c r="Q110" s="126"/>
      <c r="R110" s="126"/>
      <c r="S110" s="126"/>
      <c r="T110" s="126"/>
      <c r="U110" s="126"/>
      <c r="V110" s="125" t="s">
        <v>640</v>
      </c>
      <c r="W110" s="125" t="s">
        <v>231</v>
      </c>
      <c r="X110" s="126"/>
    </row>
    <row r="111" spans="1:24" ht="10.5" customHeight="1" x14ac:dyDescent="0.25">
      <c r="A111" s="121">
        <v>110</v>
      </c>
      <c r="B111" s="126"/>
      <c r="C111" s="126"/>
      <c r="D111" s="126"/>
      <c r="E111" s="126"/>
      <c r="F111" s="126"/>
      <c r="G111" s="125" t="s">
        <v>1108</v>
      </c>
      <c r="H111" s="125" t="s">
        <v>803</v>
      </c>
      <c r="I111" s="126"/>
      <c r="J111" s="126"/>
      <c r="K111" s="126"/>
      <c r="L111" s="126"/>
      <c r="M111" s="131"/>
      <c r="N111" s="131"/>
      <c r="O111" s="131"/>
      <c r="P111" s="125" t="s">
        <v>126</v>
      </c>
      <c r="Q111" s="126"/>
      <c r="R111" s="126"/>
      <c r="S111" s="126"/>
      <c r="T111" s="126"/>
      <c r="U111" s="126"/>
      <c r="V111" s="125" t="s">
        <v>639</v>
      </c>
      <c r="W111" s="125" t="s">
        <v>234</v>
      </c>
      <c r="X111" s="126"/>
    </row>
    <row r="112" spans="1:24" ht="10.5" customHeight="1" x14ac:dyDescent="0.25">
      <c r="A112" s="121">
        <v>111</v>
      </c>
      <c r="B112" s="126"/>
      <c r="C112" s="126"/>
      <c r="D112" s="126"/>
      <c r="E112" s="126"/>
      <c r="F112" s="126"/>
      <c r="G112" s="125" t="s">
        <v>1109</v>
      </c>
      <c r="H112" s="125" t="s">
        <v>1110</v>
      </c>
      <c r="I112" s="126"/>
      <c r="J112" s="126"/>
      <c r="K112" s="126"/>
      <c r="L112" s="126"/>
      <c r="M112" s="131"/>
      <c r="N112" s="131"/>
      <c r="O112" s="131"/>
      <c r="P112" s="125" t="s">
        <v>127</v>
      </c>
      <c r="Q112" s="126"/>
      <c r="R112" s="126"/>
      <c r="S112" s="126"/>
      <c r="T112" s="126"/>
      <c r="U112" s="126"/>
      <c r="V112" s="125" t="s">
        <v>638</v>
      </c>
      <c r="W112" s="125" t="s">
        <v>235</v>
      </c>
      <c r="X112" s="126"/>
    </row>
    <row r="113" spans="1:24" ht="10.5" customHeight="1" x14ac:dyDescent="0.25">
      <c r="A113" s="121">
        <v>112</v>
      </c>
      <c r="B113" s="126"/>
      <c r="C113" s="126"/>
      <c r="D113" s="126"/>
      <c r="E113" s="126"/>
      <c r="F113" s="126"/>
      <c r="G113" s="125" t="s">
        <v>1111</v>
      </c>
      <c r="H113" s="125" t="s">
        <v>1112</v>
      </c>
      <c r="I113" s="126"/>
      <c r="J113" s="126"/>
      <c r="K113" s="126"/>
      <c r="L113" s="126"/>
      <c r="M113" s="131"/>
      <c r="N113" s="131"/>
      <c r="O113" s="131"/>
      <c r="P113" s="125" t="s">
        <v>128</v>
      </c>
      <c r="Q113" s="126"/>
      <c r="R113" s="126"/>
      <c r="S113" s="126"/>
      <c r="T113" s="126"/>
      <c r="U113" s="126"/>
      <c r="V113" s="125" t="s">
        <v>637</v>
      </c>
      <c r="W113" s="125" t="s">
        <v>236</v>
      </c>
      <c r="X113" s="126"/>
    </row>
    <row r="114" spans="1:24" ht="10.5" customHeight="1" x14ac:dyDescent="0.25">
      <c r="A114" s="121">
        <v>113</v>
      </c>
      <c r="B114" s="126"/>
      <c r="C114" s="126"/>
      <c r="D114" s="126"/>
      <c r="E114" s="126"/>
      <c r="F114" s="126"/>
      <c r="G114" s="125" t="s">
        <v>1113</v>
      </c>
      <c r="H114" s="125" t="s">
        <v>1114</v>
      </c>
      <c r="I114" s="126"/>
      <c r="J114" s="126"/>
      <c r="K114" s="126"/>
      <c r="L114" s="126"/>
      <c r="M114" s="131"/>
      <c r="N114" s="131"/>
      <c r="O114" s="131"/>
      <c r="P114" s="125" t="s">
        <v>129</v>
      </c>
      <c r="Q114" s="126"/>
      <c r="R114" s="126"/>
      <c r="S114" s="126"/>
      <c r="T114" s="126"/>
      <c r="U114" s="126"/>
      <c r="V114" s="125" t="s">
        <v>636</v>
      </c>
      <c r="W114" s="125" t="s">
        <v>237</v>
      </c>
      <c r="X114" s="126"/>
    </row>
    <row r="115" spans="1:24" ht="10.5" customHeight="1" x14ac:dyDescent="0.25">
      <c r="A115" s="121">
        <v>114</v>
      </c>
      <c r="B115" s="126"/>
      <c r="C115" s="126"/>
      <c r="D115" s="126"/>
      <c r="E115" s="126"/>
      <c r="F115" s="126"/>
      <c r="G115" s="125" t="s">
        <v>1115</v>
      </c>
      <c r="H115" s="125" t="s">
        <v>1116</v>
      </c>
      <c r="I115" s="126"/>
      <c r="J115" s="126"/>
      <c r="K115" s="126"/>
      <c r="L115" s="126"/>
      <c r="M115" s="131"/>
      <c r="N115" s="131"/>
      <c r="O115" s="131"/>
      <c r="P115" s="125" t="s">
        <v>130</v>
      </c>
      <c r="Q115" s="126"/>
      <c r="R115" s="126"/>
      <c r="S115" s="126"/>
      <c r="T115" s="126"/>
      <c r="U115" s="126"/>
      <c r="V115" s="125" t="s">
        <v>635</v>
      </c>
      <c r="W115" s="125" t="s">
        <v>238</v>
      </c>
      <c r="X115" s="126"/>
    </row>
    <row r="116" spans="1:24" ht="10.5" customHeight="1" x14ac:dyDescent="0.25">
      <c r="A116" s="121">
        <v>115</v>
      </c>
      <c r="B116" s="126"/>
      <c r="C116" s="126"/>
      <c r="D116" s="126"/>
      <c r="E116" s="126"/>
      <c r="F116" s="126"/>
      <c r="G116" s="125" t="s">
        <v>1117</v>
      </c>
      <c r="H116" s="125" t="s">
        <v>1118</v>
      </c>
      <c r="I116" s="126"/>
      <c r="J116" s="126"/>
      <c r="K116" s="126"/>
      <c r="L116" s="126"/>
      <c r="M116" s="131"/>
      <c r="N116" s="131"/>
      <c r="O116" s="131"/>
      <c r="P116" s="125" t="s">
        <v>132</v>
      </c>
      <c r="Q116" s="126"/>
      <c r="R116" s="126"/>
      <c r="S116" s="126"/>
      <c r="T116" s="126"/>
      <c r="U116" s="126"/>
      <c r="V116" s="125" t="s">
        <v>634</v>
      </c>
      <c r="W116" s="125" t="s">
        <v>242</v>
      </c>
      <c r="X116" s="126"/>
    </row>
    <row r="117" spans="1:24" ht="10.5" customHeight="1" x14ac:dyDescent="0.25">
      <c r="A117" s="121">
        <v>116</v>
      </c>
      <c r="B117" s="126"/>
      <c r="C117" s="126"/>
      <c r="D117" s="126"/>
      <c r="E117" s="126"/>
      <c r="F117" s="126"/>
      <c r="G117" s="125" t="s">
        <v>1119</v>
      </c>
      <c r="H117" s="125" t="s">
        <v>1120</v>
      </c>
      <c r="I117" s="126"/>
      <c r="J117" s="126"/>
      <c r="K117" s="126"/>
      <c r="L117" s="126"/>
      <c r="M117" s="131"/>
      <c r="N117" s="131"/>
      <c r="O117" s="131"/>
      <c r="P117" s="125" t="s">
        <v>133</v>
      </c>
      <c r="Q117" s="126"/>
      <c r="R117" s="126"/>
      <c r="S117" s="126"/>
      <c r="T117" s="126"/>
      <c r="U117" s="126"/>
      <c r="V117" s="125" t="s">
        <v>633</v>
      </c>
      <c r="W117" s="125" t="s">
        <v>244</v>
      </c>
      <c r="X117" s="126"/>
    </row>
    <row r="118" spans="1:24" ht="10.5" customHeight="1" x14ac:dyDescent="0.25">
      <c r="A118" s="121">
        <v>117</v>
      </c>
      <c r="B118" s="126"/>
      <c r="C118" s="126"/>
      <c r="D118" s="126"/>
      <c r="E118" s="126"/>
      <c r="F118" s="126"/>
      <c r="G118" s="125" t="s">
        <v>1121</v>
      </c>
      <c r="H118" s="125" t="s">
        <v>1122</v>
      </c>
      <c r="I118" s="126"/>
      <c r="J118" s="126"/>
      <c r="K118" s="126"/>
      <c r="L118" s="126"/>
      <c r="M118" s="131"/>
      <c r="N118" s="131"/>
      <c r="O118" s="131"/>
      <c r="P118" s="125" t="s">
        <v>135</v>
      </c>
      <c r="Q118" s="126"/>
      <c r="R118" s="126"/>
      <c r="S118" s="126"/>
      <c r="T118" s="126"/>
      <c r="U118" s="126"/>
      <c r="V118" s="125" t="s">
        <v>632</v>
      </c>
      <c r="W118" s="125" t="s">
        <v>245</v>
      </c>
      <c r="X118" s="126"/>
    </row>
    <row r="119" spans="1:24" ht="10.5" customHeight="1" x14ac:dyDescent="0.25">
      <c r="A119" s="121">
        <v>118</v>
      </c>
      <c r="B119" s="126"/>
      <c r="C119" s="126"/>
      <c r="D119" s="126"/>
      <c r="E119" s="126"/>
      <c r="F119" s="126"/>
      <c r="G119" s="125" t="s">
        <v>1123</v>
      </c>
      <c r="H119" s="125" t="s">
        <v>1124</v>
      </c>
      <c r="I119" s="126"/>
      <c r="J119" s="126"/>
      <c r="K119" s="126"/>
      <c r="L119" s="126"/>
      <c r="M119" s="131"/>
      <c r="N119" s="131"/>
      <c r="O119" s="131"/>
      <c r="P119" s="125" t="s">
        <v>136</v>
      </c>
      <c r="Q119" s="126"/>
      <c r="R119" s="126"/>
      <c r="S119" s="126"/>
      <c r="T119" s="126"/>
      <c r="U119" s="126"/>
      <c r="V119" s="125" t="s">
        <v>631</v>
      </c>
      <c r="W119" s="125" t="s">
        <v>246</v>
      </c>
      <c r="X119" s="126"/>
    </row>
    <row r="120" spans="1:24" ht="10.5" customHeight="1" x14ac:dyDescent="0.25">
      <c r="A120" s="121">
        <v>119</v>
      </c>
      <c r="B120" s="126"/>
      <c r="C120" s="126"/>
      <c r="D120" s="126"/>
      <c r="E120" s="126"/>
      <c r="F120" s="126"/>
      <c r="G120" s="125" t="s">
        <v>1125</v>
      </c>
      <c r="H120" s="125" t="s">
        <v>1126</v>
      </c>
      <c r="I120" s="126"/>
      <c r="J120" s="126"/>
      <c r="K120" s="126"/>
      <c r="L120" s="126"/>
      <c r="M120" s="131"/>
      <c r="N120" s="131"/>
      <c r="O120" s="131"/>
      <c r="P120" s="125" t="s">
        <v>137</v>
      </c>
      <c r="Q120" s="126"/>
      <c r="R120" s="126"/>
      <c r="S120" s="126"/>
      <c r="T120" s="126"/>
      <c r="U120" s="126"/>
      <c r="V120" s="125" t="s">
        <v>630</v>
      </c>
      <c r="W120" s="125" t="s">
        <v>247</v>
      </c>
      <c r="X120" s="126"/>
    </row>
    <row r="121" spans="1:24" ht="10.5" customHeight="1" x14ac:dyDescent="0.25">
      <c r="A121" s="121">
        <v>120</v>
      </c>
      <c r="B121" s="126"/>
      <c r="C121" s="126"/>
      <c r="D121" s="126"/>
      <c r="E121" s="126"/>
      <c r="F121" s="126"/>
      <c r="G121" s="125" t="s">
        <v>1127</v>
      </c>
      <c r="H121" s="125" t="s">
        <v>1128</v>
      </c>
      <c r="I121" s="126"/>
      <c r="J121" s="126"/>
      <c r="K121" s="126"/>
      <c r="L121" s="126"/>
      <c r="M121" s="131"/>
      <c r="N121" s="131"/>
      <c r="O121" s="131"/>
      <c r="P121" s="125" t="s">
        <v>138</v>
      </c>
      <c r="Q121" s="126"/>
      <c r="R121" s="126"/>
      <c r="S121" s="126"/>
      <c r="T121" s="126"/>
      <c r="U121" s="126"/>
      <c r="V121" s="125" t="s">
        <v>629</v>
      </c>
      <c r="W121" s="125" t="s">
        <v>250</v>
      </c>
      <c r="X121" s="126"/>
    </row>
    <row r="122" spans="1:24" ht="10.5" customHeight="1" x14ac:dyDescent="0.25">
      <c r="A122" s="121">
        <v>121</v>
      </c>
      <c r="B122" s="126"/>
      <c r="C122" s="126"/>
      <c r="D122" s="126"/>
      <c r="E122" s="126"/>
      <c r="F122" s="126"/>
      <c r="G122" s="125" t="s">
        <v>1129</v>
      </c>
      <c r="H122" s="125" t="s">
        <v>1130</v>
      </c>
      <c r="I122" s="126"/>
      <c r="J122" s="126"/>
      <c r="K122" s="126"/>
      <c r="L122" s="126"/>
      <c r="M122" s="131"/>
      <c r="N122" s="131"/>
      <c r="O122" s="131"/>
      <c r="P122" s="125" t="s">
        <v>139</v>
      </c>
      <c r="Q122" s="126"/>
      <c r="R122" s="126"/>
      <c r="S122" s="126"/>
      <c r="T122" s="126"/>
      <c r="U122" s="126"/>
      <c r="V122" s="125" t="s">
        <v>628</v>
      </c>
      <c r="W122" s="125" t="s">
        <v>251</v>
      </c>
      <c r="X122" s="126"/>
    </row>
    <row r="123" spans="1:24" ht="10.5" customHeight="1" x14ac:dyDescent="0.25">
      <c r="A123" s="121">
        <v>122</v>
      </c>
      <c r="B123" s="126"/>
      <c r="C123" s="126"/>
      <c r="D123" s="126"/>
      <c r="E123" s="126"/>
      <c r="F123" s="126"/>
      <c r="G123" s="125" t="s">
        <v>1131</v>
      </c>
      <c r="H123" s="125" t="s">
        <v>818</v>
      </c>
      <c r="I123" s="126"/>
      <c r="J123" s="126"/>
      <c r="K123" s="126"/>
      <c r="L123" s="126"/>
      <c r="M123" s="131"/>
      <c r="N123" s="131"/>
      <c r="O123" s="131"/>
      <c r="P123" s="125" t="s">
        <v>140</v>
      </c>
      <c r="Q123" s="126"/>
      <c r="R123" s="126"/>
      <c r="S123" s="126"/>
      <c r="T123" s="126"/>
      <c r="U123" s="126"/>
      <c r="V123" s="125" t="s">
        <v>627</v>
      </c>
      <c r="W123" s="125" t="s">
        <v>253</v>
      </c>
      <c r="X123" s="126"/>
    </row>
    <row r="124" spans="1:24" ht="10.5" customHeight="1" x14ac:dyDescent="0.25">
      <c r="A124" s="121">
        <v>123</v>
      </c>
      <c r="B124" s="126"/>
      <c r="C124" s="126"/>
      <c r="D124" s="126"/>
      <c r="E124" s="126"/>
      <c r="F124" s="126"/>
      <c r="G124" s="125" t="s">
        <v>1132</v>
      </c>
      <c r="H124" s="125" t="s">
        <v>1133</v>
      </c>
      <c r="I124" s="126"/>
      <c r="J124" s="126"/>
      <c r="K124" s="126"/>
      <c r="L124" s="126"/>
      <c r="M124" s="131"/>
      <c r="N124" s="131"/>
      <c r="O124" s="131"/>
      <c r="P124" s="125" t="s">
        <v>141</v>
      </c>
      <c r="Q124" s="126"/>
      <c r="R124" s="126"/>
      <c r="S124" s="126"/>
      <c r="T124" s="126"/>
      <c r="U124" s="126"/>
      <c r="V124" s="125" t="s">
        <v>626</v>
      </c>
      <c r="W124" s="125" t="s">
        <v>255</v>
      </c>
      <c r="X124" s="126"/>
    </row>
    <row r="125" spans="1:24" ht="10.5" customHeight="1" x14ac:dyDescent="0.25">
      <c r="A125" s="121">
        <v>124</v>
      </c>
      <c r="B125" s="126"/>
      <c r="C125" s="126"/>
      <c r="D125" s="126"/>
      <c r="E125" s="126"/>
      <c r="F125" s="126"/>
      <c r="G125" s="125" t="s">
        <v>1134</v>
      </c>
      <c r="H125" s="125" t="s">
        <v>1135</v>
      </c>
      <c r="I125" s="126"/>
      <c r="J125" s="126"/>
      <c r="K125" s="126"/>
      <c r="L125" s="126"/>
      <c r="M125" s="131"/>
      <c r="N125" s="131"/>
      <c r="O125" s="131"/>
      <c r="P125" s="125" t="s">
        <v>143</v>
      </c>
      <c r="Q125" s="126"/>
      <c r="R125" s="126"/>
      <c r="S125" s="126"/>
      <c r="T125" s="126"/>
      <c r="U125" s="126"/>
      <c r="V125" s="125" t="s">
        <v>625</v>
      </c>
      <c r="W125" s="125" t="s">
        <v>256</v>
      </c>
      <c r="X125" s="126"/>
    </row>
    <row r="126" spans="1:24" ht="10.5" customHeight="1" x14ac:dyDescent="0.25">
      <c r="A126" s="121">
        <v>125</v>
      </c>
      <c r="B126" s="126"/>
      <c r="C126" s="126"/>
      <c r="D126" s="126"/>
      <c r="E126" s="126"/>
      <c r="F126" s="126"/>
      <c r="G126" s="125" t="s">
        <v>1136</v>
      </c>
      <c r="H126" s="125" t="s">
        <v>1137</v>
      </c>
      <c r="I126" s="126"/>
      <c r="J126" s="126"/>
      <c r="K126" s="126"/>
      <c r="L126" s="126"/>
      <c r="M126" s="131"/>
      <c r="N126" s="131"/>
      <c r="O126" s="131"/>
      <c r="P126" s="125" t="s">
        <v>144</v>
      </c>
      <c r="Q126" s="126"/>
      <c r="R126" s="126"/>
      <c r="S126" s="126"/>
      <c r="T126" s="126"/>
      <c r="U126" s="126"/>
      <c r="V126" s="125" t="s">
        <v>624</v>
      </c>
      <c r="W126" s="125" t="s">
        <v>257</v>
      </c>
      <c r="X126" s="126"/>
    </row>
    <row r="127" spans="1:24" ht="10.5" customHeight="1" x14ac:dyDescent="0.25">
      <c r="A127" s="121">
        <v>126</v>
      </c>
      <c r="B127" s="126"/>
      <c r="C127" s="126"/>
      <c r="D127" s="126"/>
      <c r="E127" s="126"/>
      <c r="F127" s="126"/>
      <c r="G127" s="125" t="s">
        <v>1138</v>
      </c>
      <c r="H127" s="125" t="s">
        <v>1139</v>
      </c>
      <c r="I127" s="126"/>
      <c r="J127" s="126"/>
      <c r="K127" s="126"/>
      <c r="L127" s="126"/>
      <c r="M127" s="131"/>
      <c r="N127" s="131"/>
      <c r="O127" s="131"/>
      <c r="P127" s="125" t="s">
        <v>146</v>
      </c>
      <c r="Q127" s="126"/>
      <c r="R127" s="126"/>
      <c r="S127" s="126"/>
      <c r="T127" s="126"/>
      <c r="U127" s="126"/>
      <c r="V127" s="125" t="s">
        <v>623</v>
      </c>
      <c r="W127" s="125" t="s">
        <v>260</v>
      </c>
      <c r="X127" s="126"/>
    </row>
    <row r="128" spans="1:24" ht="10.5" customHeight="1" x14ac:dyDescent="0.25">
      <c r="A128" s="121">
        <v>127</v>
      </c>
      <c r="B128" s="126"/>
      <c r="C128" s="126"/>
      <c r="D128" s="126"/>
      <c r="E128" s="126"/>
      <c r="F128" s="126"/>
      <c r="G128" s="125" t="s">
        <v>1140</v>
      </c>
      <c r="H128" s="125" t="s">
        <v>1141</v>
      </c>
      <c r="I128" s="126"/>
      <c r="J128" s="126"/>
      <c r="K128" s="126"/>
      <c r="L128" s="126"/>
      <c r="M128" s="131"/>
      <c r="N128" s="131"/>
      <c r="O128" s="131"/>
      <c r="P128" s="125" t="s">
        <v>147</v>
      </c>
      <c r="Q128" s="126"/>
      <c r="R128" s="126"/>
      <c r="S128" s="126"/>
      <c r="T128" s="126"/>
      <c r="U128" s="126"/>
      <c r="V128" s="125" t="s">
        <v>622</v>
      </c>
      <c r="W128" s="125" t="s">
        <v>262</v>
      </c>
      <c r="X128" s="126"/>
    </row>
    <row r="129" spans="1:24" ht="10.5" customHeight="1" x14ac:dyDescent="0.25">
      <c r="A129" s="121">
        <v>128</v>
      </c>
      <c r="B129" s="126"/>
      <c r="C129" s="126"/>
      <c r="D129" s="126"/>
      <c r="E129" s="126"/>
      <c r="F129" s="126"/>
      <c r="G129" s="125" t="s">
        <v>1142</v>
      </c>
      <c r="H129" s="125" t="s">
        <v>806</v>
      </c>
      <c r="I129" s="126"/>
      <c r="J129" s="126"/>
      <c r="K129" s="126"/>
      <c r="L129" s="126"/>
      <c r="M129" s="131"/>
      <c r="N129" s="131"/>
      <c r="O129" s="131"/>
      <c r="P129" s="125" t="s">
        <v>148</v>
      </c>
      <c r="Q129" s="126"/>
      <c r="R129" s="126"/>
      <c r="S129" s="126"/>
      <c r="T129" s="126"/>
      <c r="U129" s="126"/>
      <c r="V129" s="125" t="s">
        <v>621</v>
      </c>
      <c r="W129" s="125" t="s">
        <v>263</v>
      </c>
      <c r="X129" s="126"/>
    </row>
    <row r="130" spans="1:24" ht="10.5" customHeight="1" x14ac:dyDescent="0.25">
      <c r="A130" s="121">
        <v>129</v>
      </c>
      <c r="B130" s="126"/>
      <c r="C130" s="126"/>
      <c r="D130" s="126"/>
      <c r="E130" s="126"/>
      <c r="F130" s="126"/>
      <c r="G130" s="125" t="s">
        <v>1143</v>
      </c>
      <c r="H130" s="125" t="s">
        <v>1144</v>
      </c>
      <c r="I130" s="126"/>
      <c r="J130" s="126"/>
      <c r="K130" s="126"/>
      <c r="L130" s="126"/>
      <c r="M130" s="131"/>
      <c r="N130" s="131"/>
      <c r="O130" s="131"/>
      <c r="P130" s="125" t="s">
        <v>149</v>
      </c>
      <c r="Q130" s="126"/>
      <c r="R130" s="126"/>
      <c r="S130" s="126"/>
      <c r="T130" s="126"/>
      <c r="U130" s="126"/>
      <c r="V130" s="125" t="s">
        <v>620</v>
      </c>
      <c r="W130" s="125" t="s">
        <v>264</v>
      </c>
      <c r="X130" s="126"/>
    </row>
    <row r="131" spans="1:24" ht="10.5" customHeight="1" x14ac:dyDescent="0.25">
      <c r="A131" s="121">
        <v>130</v>
      </c>
      <c r="B131" s="126"/>
      <c r="C131" s="126"/>
      <c r="D131" s="126"/>
      <c r="E131" s="126"/>
      <c r="F131" s="126"/>
      <c r="G131" s="125" t="s">
        <v>1145</v>
      </c>
      <c r="H131" s="125" t="s">
        <v>1146</v>
      </c>
      <c r="I131" s="126"/>
      <c r="J131" s="126"/>
      <c r="K131" s="126"/>
      <c r="L131" s="126"/>
      <c r="M131" s="131"/>
      <c r="N131" s="131"/>
      <c r="O131" s="131"/>
      <c r="P131" s="125" t="s">
        <v>150</v>
      </c>
      <c r="Q131" s="126"/>
      <c r="R131" s="126"/>
      <c r="S131" s="126"/>
      <c r="T131" s="126"/>
      <c r="U131" s="126"/>
      <c r="V131" s="125" t="s">
        <v>619</v>
      </c>
      <c r="W131" s="125" t="s">
        <v>266</v>
      </c>
      <c r="X131" s="126"/>
    </row>
    <row r="132" spans="1:24" ht="10.5" customHeight="1" x14ac:dyDescent="0.25">
      <c r="A132" s="121">
        <v>131</v>
      </c>
      <c r="B132" s="126"/>
      <c r="C132" s="126"/>
      <c r="D132" s="126"/>
      <c r="E132" s="126"/>
      <c r="F132" s="126"/>
      <c r="G132" s="125" t="s">
        <v>1147</v>
      </c>
      <c r="H132" s="125" t="s">
        <v>807</v>
      </c>
      <c r="I132" s="126"/>
      <c r="J132" s="126"/>
      <c r="K132" s="126"/>
      <c r="L132" s="126"/>
      <c r="M132" s="131"/>
      <c r="N132" s="131"/>
      <c r="O132" s="131"/>
      <c r="P132" s="125" t="s">
        <v>151</v>
      </c>
      <c r="Q132" s="126"/>
      <c r="R132" s="126"/>
      <c r="S132" s="126"/>
      <c r="T132" s="126"/>
      <c r="U132" s="126"/>
      <c r="V132" s="125" t="s">
        <v>618</v>
      </c>
      <c r="W132" s="125" t="s">
        <v>268</v>
      </c>
      <c r="X132" s="126"/>
    </row>
    <row r="133" spans="1:24" ht="10.5" customHeight="1" x14ac:dyDescent="0.25">
      <c r="A133" s="121">
        <v>132</v>
      </c>
      <c r="B133" s="126"/>
      <c r="C133" s="126"/>
      <c r="D133" s="126"/>
      <c r="E133" s="126"/>
      <c r="F133" s="126"/>
      <c r="G133" s="125" t="s">
        <v>1148</v>
      </c>
      <c r="H133" s="125" t="s">
        <v>1149</v>
      </c>
      <c r="I133" s="126"/>
      <c r="J133" s="126"/>
      <c r="K133" s="126"/>
      <c r="L133" s="126"/>
      <c r="M133" s="131"/>
      <c r="N133" s="131"/>
      <c r="O133" s="131"/>
      <c r="P133" s="125" t="s">
        <v>152</v>
      </c>
      <c r="Q133" s="126"/>
      <c r="R133" s="126"/>
      <c r="S133" s="126"/>
      <c r="T133" s="126"/>
      <c r="U133" s="126"/>
      <c r="V133" s="125" t="s">
        <v>617</v>
      </c>
      <c r="W133" s="125" t="s">
        <v>269</v>
      </c>
      <c r="X133" s="126"/>
    </row>
    <row r="134" spans="1:24" ht="10.5" customHeight="1" x14ac:dyDescent="0.25">
      <c r="A134" s="121">
        <v>133</v>
      </c>
      <c r="B134" s="126"/>
      <c r="C134" s="126"/>
      <c r="D134" s="126"/>
      <c r="E134" s="126"/>
      <c r="F134" s="126"/>
      <c r="G134" s="125" t="s">
        <v>1150</v>
      </c>
      <c r="H134" s="125" t="s">
        <v>1151</v>
      </c>
      <c r="I134" s="126"/>
      <c r="J134" s="126"/>
      <c r="K134" s="126"/>
      <c r="L134" s="126"/>
      <c r="M134" s="131"/>
      <c r="N134" s="131"/>
      <c r="O134" s="131"/>
      <c r="P134" s="125" t="s">
        <v>153</v>
      </c>
      <c r="Q134" s="126"/>
      <c r="R134" s="126"/>
      <c r="S134" s="126"/>
      <c r="T134" s="126"/>
      <c r="U134" s="126"/>
      <c r="V134" s="125" t="s">
        <v>616</v>
      </c>
      <c r="W134" s="125" t="s">
        <v>270</v>
      </c>
      <c r="X134" s="126"/>
    </row>
    <row r="135" spans="1:24" ht="10.5" customHeight="1" x14ac:dyDescent="0.25">
      <c r="A135" s="121">
        <v>134</v>
      </c>
      <c r="B135" s="126"/>
      <c r="C135" s="126"/>
      <c r="D135" s="126"/>
      <c r="E135" s="126"/>
      <c r="F135" s="126"/>
      <c r="G135" s="125" t="s">
        <v>1152</v>
      </c>
      <c r="H135" s="125" t="s">
        <v>1153</v>
      </c>
      <c r="I135" s="126"/>
      <c r="J135" s="126"/>
      <c r="K135" s="126"/>
      <c r="L135" s="126"/>
      <c r="M135" s="131"/>
      <c r="N135" s="131"/>
      <c r="O135" s="131"/>
      <c r="P135" s="125" t="s">
        <v>154</v>
      </c>
      <c r="Q135" s="126"/>
      <c r="R135" s="126"/>
      <c r="S135" s="126"/>
      <c r="T135" s="126"/>
      <c r="U135" s="126"/>
      <c r="V135" s="125" t="s">
        <v>615</v>
      </c>
      <c r="W135" s="125" t="s">
        <v>271</v>
      </c>
      <c r="X135" s="126"/>
    </row>
    <row r="136" spans="1:24" ht="10.5" customHeight="1" x14ac:dyDescent="0.25">
      <c r="A136" s="121">
        <v>135</v>
      </c>
      <c r="B136" s="126"/>
      <c r="C136" s="126"/>
      <c r="D136" s="126"/>
      <c r="E136" s="126"/>
      <c r="F136" s="126"/>
      <c r="G136" s="125" t="s">
        <v>1154</v>
      </c>
      <c r="H136" s="125" t="s">
        <v>811</v>
      </c>
      <c r="I136" s="126"/>
      <c r="J136" s="126"/>
      <c r="K136" s="126"/>
      <c r="L136" s="126"/>
      <c r="M136" s="131"/>
      <c r="N136" s="131"/>
      <c r="O136" s="131"/>
      <c r="P136" s="125" t="s">
        <v>155</v>
      </c>
      <c r="Q136" s="126"/>
      <c r="R136" s="126"/>
      <c r="S136" s="126"/>
      <c r="T136" s="126"/>
      <c r="U136" s="126"/>
      <c r="V136" s="125" t="s">
        <v>614</v>
      </c>
      <c r="W136" s="125" t="s">
        <v>272</v>
      </c>
      <c r="X136" s="126"/>
    </row>
    <row r="137" spans="1:24" ht="10.5" customHeight="1" x14ac:dyDescent="0.25">
      <c r="A137" s="121">
        <v>136</v>
      </c>
      <c r="B137" s="126"/>
      <c r="C137" s="126"/>
      <c r="D137" s="126"/>
      <c r="E137" s="126"/>
      <c r="F137" s="126"/>
      <c r="G137" s="125" t="s">
        <v>1155</v>
      </c>
      <c r="H137" s="125" t="s">
        <v>1156</v>
      </c>
      <c r="I137" s="126"/>
      <c r="J137" s="126"/>
      <c r="K137" s="126"/>
      <c r="L137" s="126"/>
      <c r="M137" s="131"/>
      <c r="N137" s="131"/>
      <c r="O137" s="131"/>
      <c r="P137" s="125" t="s">
        <v>156</v>
      </c>
      <c r="Q137" s="126"/>
      <c r="R137" s="126"/>
      <c r="S137" s="126"/>
      <c r="T137" s="126"/>
      <c r="U137" s="126"/>
      <c r="V137" s="125" t="s">
        <v>613</v>
      </c>
      <c r="W137" s="125" t="s">
        <v>274</v>
      </c>
      <c r="X137" s="126"/>
    </row>
    <row r="138" spans="1:24" ht="10.5" customHeight="1" x14ac:dyDescent="0.25">
      <c r="A138" s="121">
        <v>137</v>
      </c>
      <c r="B138" s="126"/>
      <c r="C138" s="126"/>
      <c r="D138" s="126"/>
      <c r="E138" s="126"/>
      <c r="F138" s="126"/>
      <c r="G138" s="125" t="s">
        <v>1157</v>
      </c>
      <c r="H138" s="125" t="s">
        <v>815</v>
      </c>
      <c r="I138" s="126"/>
      <c r="J138" s="126"/>
      <c r="K138" s="126"/>
      <c r="L138" s="126"/>
      <c r="M138" s="131"/>
      <c r="N138" s="131"/>
      <c r="O138" s="131"/>
      <c r="P138" s="125" t="s">
        <v>157</v>
      </c>
      <c r="Q138" s="126"/>
      <c r="R138" s="126"/>
      <c r="S138" s="126"/>
      <c r="T138" s="126"/>
      <c r="U138" s="126"/>
      <c r="V138" s="125" t="s">
        <v>612</v>
      </c>
      <c r="W138" s="125" t="s">
        <v>275</v>
      </c>
      <c r="X138" s="126"/>
    </row>
    <row r="139" spans="1:24" ht="10.5" customHeight="1" x14ac:dyDescent="0.25">
      <c r="A139" s="121">
        <v>138</v>
      </c>
      <c r="B139" s="126"/>
      <c r="C139" s="126"/>
      <c r="D139" s="126"/>
      <c r="E139" s="126"/>
      <c r="F139" s="126"/>
      <c r="G139" s="125" t="s">
        <v>1158</v>
      </c>
      <c r="H139" s="125" t="s">
        <v>810</v>
      </c>
      <c r="I139" s="126"/>
      <c r="J139" s="126"/>
      <c r="K139" s="126"/>
      <c r="L139" s="126"/>
      <c r="M139" s="131"/>
      <c r="N139" s="131"/>
      <c r="O139" s="131"/>
      <c r="P139" s="125" t="s">
        <v>158</v>
      </c>
      <c r="Q139" s="126"/>
      <c r="R139" s="126"/>
      <c r="S139" s="126"/>
      <c r="T139" s="126"/>
      <c r="U139" s="126"/>
      <c r="V139" s="125" t="s">
        <v>611</v>
      </c>
      <c r="W139" s="125" t="s">
        <v>276</v>
      </c>
      <c r="X139" s="126"/>
    </row>
    <row r="140" spans="1:24" ht="10.5" customHeight="1" x14ac:dyDescent="0.25">
      <c r="A140" s="121">
        <v>139</v>
      </c>
      <c r="B140" s="126"/>
      <c r="C140" s="126"/>
      <c r="D140" s="126"/>
      <c r="E140" s="126"/>
      <c r="F140" s="126"/>
      <c r="G140" s="125" t="s">
        <v>1159</v>
      </c>
      <c r="H140" s="125" t="s">
        <v>1160</v>
      </c>
      <c r="I140" s="126"/>
      <c r="J140" s="126"/>
      <c r="K140" s="126"/>
      <c r="L140" s="126"/>
      <c r="M140" s="131"/>
      <c r="N140" s="131"/>
      <c r="O140" s="131"/>
      <c r="P140" s="125" t="s">
        <v>159</v>
      </c>
      <c r="Q140" s="126"/>
      <c r="R140" s="126"/>
      <c r="S140" s="126"/>
      <c r="T140" s="126"/>
      <c r="U140" s="126"/>
      <c r="V140" s="125" t="s">
        <v>610</v>
      </c>
      <c r="W140" s="125" t="s">
        <v>277</v>
      </c>
      <c r="X140" s="126"/>
    </row>
    <row r="141" spans="1:24" ht="10.5" customHeight="1" x14ac:dyDescent="0.25">
      <c r="A141" s="121">
        <v>140</v>
      </c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31"/>
      <c r="N141" s="131"/>
      <c r="O141" s="131"/>
      <c r="P141" s="125" t="s">
        <v>160</v>
      </c>
      <c r="Q141" s="126"/>
      <c r="R141" s="126"/>
      <c r="S141" s="126"/>
      <c r="T141" s="126"/>
      <c r="U141" s="126"/>
      <c r="V141" s="125" t="s">
        <v>609</v>
      </c>
      <c r="W141" s="125" t="s">
        <v>278</v>
      </c>
      <c r="X141" s="126"/>
    </row>
    <row r="142" spans="1:24" ht="10.5" customHeight="1" x14ac:dyDescent="0.25">
      <c r="A142" s="121">
        <v>141</v>
      </c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31"/>
      <c r="N142" s="131"/>
      <c r="O142" s="131"/>
      <c r="P142" s="125" t="s">
        <v>161</v>
      </c>
      <c r="Q142" s="126"/>
      <c r="R142" s="126"/>
      <c r="S142" s="126"/>
      <c r="T142" s="126"/>
      <c r="U142" s="126"/>
      <c r="V142" s="125" t="s">
        <v>608</v>
      </c>
      <c r="W142" s="125" t="s">
        <v>280</v>
      </c>
      <c r="X142" s="126"/>
    </row>
    <row r="143" spans="1:24" ht="10.5" customHeight="1" x14ac:dyDescent="0.25">
      <c r="A143" s="121">
        <v>142</v>
      </c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31"/>
      <c r="N143" s="131"/>
      <c r="O143" s="131"/>
      <c r="P143" s="125" t="s">
        <v>162</v>
      </c>
      <c r="Q143" s="126"/>
      <c r="R143" s="126"/>
      <c r="S143" s="126"/>
      <c r="T143" s="126"/>
      <c r="U143" s="126"/>
      <c r="V143" s="125" t="s">
        <v>607</v>
      </c>
      <c r="W143" s="125" t="s">
        <v>281</v>
      </c>
      <c r="X143" s="126"/>
    </row>
    <row r="144" spans="1:24" ht="10.5" customHeight="1" x14ac:dyDescent="0.25">
      <c r="A144" s="121">
        <v>143</v>
      </c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31"/>
      <c r="N144" s="131"/>
      <c r="O144" s="131"/>
      <c r="P144" s="125" t="s">
        <v>24</v>
      </c>
      <c r="Q144" s="126"/>
      <c r="R144" s="126"/>
      <c r="S144" s="126"/>
      <c r="T144" s="126"/>
      <c r="U144" s="126"/>
      <c r="V144" s="125" t="s">
        <v>606</v>
      </c>
      <c r="W144" s="125" t="s">
        <v>283</v>
      </c>
      <c r="X144" s="126"/>
    </row>
    <row r="145" spans="1:24" ht="10.5" customHeight="1" x14ac:dyDescent="0.25">
      <c r="A145" s="121">
        <v>144</v>
      </c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31"/>
      <c r="N145" s="131"/>
      <c r="O145" s="131"/>
      <c r="P145" s="125" t="s">
        <v>164</v>
      </c>
      <c r="Q145" s="126"/>
      <c r="R145" s="126"/>
      <c r="S145" s="126"/>
      <c r="T145" s="126"/>
      <c r="U145" s="126"/>
      <c r="V145" s="125" t="s">
        <v>605</v>
      </c>
      <c r="W145" s="125" t="s">
        <v>285</v>
      </c>
      <c r="X145" s="126"/>
    </row>
    <row r="146" spans="1:24" ht="10.5" customHeight="1" x14ac:dyDescent="0.25">
      <c r="A146" s="121">
        <v>145</v>
      </c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31"/>
      <c r="N146" s="131"/>
      <c r="O146" s="131"/>
      <c r="P146" s="125" t="s">
        <v>165</v>
      </c>
      <c r="Q146" s="126"/>
      <c r="R146" s="126"/>
      <c r="S146" s="126"/>
      <c r="T146" s="126"/>
      <c r="U146" s="126"/>
      <c r="V146" s="125" t="s">
        <v>604</v>
      </c>
      <c r="W146" s="125" t="s">
        <v>290</v>
      </c>
      <c r="X146" s="126"/>
    </row>
    <row r="147" spans="1:24" ht="10.5" customHeight="1" x14ac:dyDescent="0.25">
      <c r="A147" s="121">
        <v>146</v>
      </c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31"/>
      <c r="N147" s="131"/>
      <c r="O147" s="131"/>
      <c r="P147" s="125" t="s">
        <v>166</v>
      </c>
      <c r="Q147" s="126"/>
      <c r="R147" s="126"/>
      <c r="S147" s="126"/>
      <c r="T147" s="126"/>
      <c r="U147" s="126"/>
      <c r="V147" s="125" t="s">
        <v>603</v>
      </c>
      <c r="W147" s="125" t="s">
        <v>291</v>
      </c>
      <c r="X147" s="126"/>
    </row>
    <row r="148" spans="1:24" ht="10.5" customHeight="1" x14ac:dyDescent="0.25">
      <c r="A148" s="121">
        <v>147</v>
      </c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31"/>
      <c r="N148" s="131"/>
      <c r="O148" s="131"/>
      <c r="P148" s="125" t="s">
        <v>167</v>
      </c>
      <c r="Q148" s="126"/>
      <c r="R148" s="126"/>
      <c r="S148" s="126"/>
      <c r="T148" s="126"/>
      <c r="U148" s="126"/>
      <c r="V148" s="125" t="s">
        <v>602</v>
      </c>
      <c r="W148" s="125" t="s">
        <v>292</v>
      </c>
      <c r="X148" s="126"/>
    </row>
    <row r="149" spans="1:24" ht="10.5" customHeight="1" x14ac:dyDescent="0.25">
      <c r="A149" s="121">
        <v>148</v>
      </c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31"/>
      <c r="N149" s="131"/>
      <c r="O149" s="131"/>
      <c r="P149" s="125" t="s">
        <v>168</v>
      </c>
      <c r="Q149" s="126"/>
      <c r="R149" s="126"/>
      <c r="S149" s="126"/>
      <c r="T149" s="126"/>
      <c r="U149" s="126"/>
      <c r="V149" s="125" t="s">
        <v>601</v>
      </c>
      <c r="W149" s="125" t="s">
        <v>296</v>
      </c>
      <c r="X149" s="126"/>
    </row>
    <row r="150" spans="1:24" ht="10.5" customHeight="1" x14ac:dyDescent="0.25">
      <c r="A150" s="121">
        <v>149</v>
      </c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31"/>
      <c r="N150" s="131"/>
      <c r="O150" s="131"/>
      <c r="P150" s="125" t="s">
        <v>169</v>
      </c>
      <c r="Q150" s="126"/>
      <c r="R150" s="126"/>
      <c r="S150" s="126"/>
      <c r="T150" s="126"/>
      <c r="U150" s="126"/>
      <c r="V150" s="125" t="s">
        <v>600</v>
      </c>
      <c r="W150" s="125" t="s">
        <v>297</v>
      </c>
      <c r="X150" s="126"/>
    </row>
    <row r="151" spans="1:24" ht="10.5" customHeight="1" x14ac:dyDescent="0.25">
      <c r="A151" s="121">
        <v>150</v>
      </c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31"/>
      <c r="N151" s="131"/>
      <c r="O151" s="131"/>
      <c r="P151" s="125" t="s">
        <v>170</v>
      </c>
      <c r="Q151" s="126"/>
      <c r="R151" s="126"/>
      <c r="S151" s="126"/>
      <c r="T151" s="126"/>
      <c r="U151" s="126"/>
      <c r="V151" s="125" t="s">
        <v>599</v>
      </c>
      <c r="W151" s="125" t="s">
        <v>299</v>
      </c>
      <c r="X151" s="126"/>
    </row>
    <row r="152" spans="1:24" ht="10.5" customHeight="1" x14ac:dyDescent="0.25">
      <c r="A152" s="121">
        <v>151</v>
      </c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31"/>
      <c r="N152" s="131"/>
      <c r="O152" s="131"/>
      <c r="P152" s="125" t="s">
        <v>171</v>
      </c>
      <c r="Q152" s="126"/>
      <c r="R152" s="126"/>
      <c r="S152" s="126"/>
      <c r="T152" s="126"/>
      <c r="U152" s="126"/>
      <c r="V152" s="125" t="s">
        <v>598</v>
      </c>
      <c r="W152" s="125" t="s">
        <v>300</v>
      </c>
      <c r="X152" s="126"/>
    </row>
    <row r="153" spans="1:24" ht="10.5" customHeight="1" x14ac:dyDescent="0.25">
      <c r="A153" s="121">
        <v>152</v>
      </c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31"/>
      <c r="N153" s="131"/>
      <c r="O153" s="131"/>
      <c r="P153" s="125" t="s">
        <v>172</v>
      </c>
      <c r="Q153" s="126"/>
      <c r="R153" s="126"/>
      <c r="S153" s="126"/>
      <c r="T153" s="126"/>
      <c r="U153" s="126"/>
      <c r="V153" s="125" t="s">
        <v>597</v>
      </c>
      <c r="W153" s="125" t="s">
        <v>301</v>
      </c>
      <c r="X153" s="126"/>
    </row>
    <row r="154" spans="1:24" ht="10.5" customHeight="1" x14ac:dyDescent="0.25">
      <c r="A154" s="121">
        <v>153</v>
      </c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31"/>
      <c r="N154" s="131"/>
      <c r="O154" s="131"/>
      <c r="P154" s="125" t="s">
        <v>173</v>
      </c>
      <c r="Q154" s="126"/>
      <c r="R154" s="126"/>
      <c r="S154" s="126"/>
      <c r="T154" s="126"/>
      <c r="U154" s="126"/>
      <c r="V154" s="125" t="s">
        <v>596</v>
      </c>
      <c r="W154" s="125" t="s">
        <v>302</v>
      </c>
      <c r="X154" s="126"/>
    </row>
    <row r="155" spans="1:24" ht="10.5" customHeight="1" x14ac:dyDescent="0.25">
      <c r="A155" s="121">
        <v>154</v>
      </c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31"/>
      <c r="N155" s="131"/>
      <c r="O155" s="131"/>
      <c r="P155" s="125" t="s">
        <v>174</v>
      </c>
      <c r="Q155" s="126"/>
      <c r="R155" s="126"/>
      <c r="S155" s="126"/>
      <c r="T155" s="126"/>
      <c r="U155" s="126"/>
      <c r="V155" s="125" t="s">
        <v>595</v>
      </c>
      <c r="W155" s="125" t="s">
        <v>303</v>
      </c>
      <c r="X155" s="126"/>
    </row>
    <row r="156" spans="1:24" ht="10.5" customHeight="1" x14ac:dyDescent="0.25">
      <c r="A156" s="121">
        <v>155</v>
      </c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31"/>
      <c r="N156" s="131"/>
      <c r="O156" s="131"/>
      <c r="P156" s="125" t="s">
        <v>175</v>
      </c>
      <c r="Q156" s="126"/>
      <c r="R156" s="126"/>
      <c r="S156" s="126"/>
      <c r="T156" s="126"/>
      <c r="U156" s="126"/>
      <c r="V156" s="125" t="s">
        <v>594</v>
      </c>
      <c r="W156" s="125" t="s">
        <v>304</v>
      </c>
      <c r="X156" s="126"/>
    </row>
    <row r="157" spans="1:24" ht="10.5" customHeight="1" x14ac:dyDescent="0.25">
      <c r="A157" s="121">
        <v>156</v>
      </c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31"/>
      <c r="N157" s="131"/>
      <c r="O157" s="131"/>
      <c r="P157" s="125" t="s">
        <v>176</v>
      </c>
      <c r="Q157" s="126"/>
      <c r="R157" s="126"/>
      <c r="S157" s="126"/>
      <c r="T157" s="126"/>
      <c r="U157" s="126"/>
      <c r="V157" s="125" t="s">
        <v>593</v>
      </c>
      <c r="W157" s="125" t="s">
        <v>305</v>
      </c>
      <c r="X157" s="126"/>
    </row>
    <row r="158" spans="1:24" ht="10.5" customHeight="1" x14ac:dyDescent="0.25">
      <c r="A158" s="121">
        <v>157</v>
      </c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31"/>
      <c r="N158" s="131"/>
      <c r="O158" s="131"/>
      <c r="P158" s="125" t="s">
        <v>177</v>
      </c>
      <c r="Q158" s="126"/>
      <c r="R158" s="126"/>
      <c r="S158" s="126"/>
      <c r="T158" s="126"/>
      <c r="U158" s="126"/>
      <c r="V158" s="125" t="s">
        <v>592</v>
      </c>
      <c r="W158" s="125" t="s">
        <v>310</v>
      </c>
      <c r="X158" s="126"/>
    </row>
    <row r="159" spans="1:24" ht="10.5" customHeight="1" x14ac:dyDescent="0.25">
      <c r="A159" s="121">
        <v>158</v>
      </c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31"/>
      <c r="N159" s="131"/>
      <c r="O159" s="131"/>
      <c r="P159" s="125" t="s">
        <v>178</v>
      </c>
      <c r="Q159" s="126"/>
      <c r="R159" s="126"/>
      <c r="S159" s="126"/>
      <c r="T159" s="126"/>
      <c r="U159" s="126"/>
      <c r="V159" s="125" t="s">
        <v>591</v>
      </c>
      <c r="W159" s="125" t="s">
        <v>311</v>
      </c>
      <c r="X159" s="126"/>
    </row>
    <row r="160" spans="1:24" ht="10.5" customHeight="1" x14ac:dyDescent="0.25">
      <c r="A160" s="121">
        <v>159</v>
      </c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31"/>
      <c r="N160" s="131"/>
      <c r="O160" s="131"/>
      <c r="P160" s="125" t="s">
        <v>179</v>
      </c>
      <c r="Q160" s="126"/>
      <c r="R160" s="126"/>
      <c r="S160" s="126"/>
      <c r="T160" s="126"/>
      <c r="U160" s="126"/>
      <c r="V160" s="125" t="s">
        <v>590</v>
      </c>
      <c r="W160" s="125" t="s">
        <v>312</v>
      </c>
      <c r="X160" s="126"/>
    </row>
    <row r="161" spans="1:24" ht="10.5" customHeight="1" x14ac:dyDescent="0.25">
      <c r="A161" s="121">
        <v>160</v>
      </c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31"/>
      <c r="N161" s="131"/>
      <c r="O161" s="131"/>
      <c r="P161" s="125" t="s">
        <v>180</v>
      </c>
      <c r="Q161" s="126"/>
      <c r="R161" s="126"/>
      <c r="S161" s="126"/>
      <c r="T161" s="126"/>
      <c r="U161" s="126"/>
      <c r="V161" s="125" t="s">
        <v>589</v>
      </c>
      <c r="W161" s="125" t="s">
        <v>314</v>
      </c>
      <c r="X161" s="126"/>
    </row>
    <row r="162" spans="1:24" ht="10.5" customHeight="1" x14ac:dyDescent="0.25">
      <c r="A162" s="121">
        <v>161</v>
      </c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31"/>
      <c r="N162" s="131"/>
      <c r="O162" s="131"/>
      <c r="P162" s="125" t="s">
        <v>181</v>
      </c>
      <c r="Q162" s="126"/>
      <c r="R162" s="126"/>
      <c r="S162" s="126"/>
      <c r="T162" s="126"/>
      <c r="U162" s="126"/>
      <c r="V162" s="125" t="s">
        <v>588</v>
      </c>
      <c r="W162" s="125" t="s">
        <v>316</v>
      </c>
      <c r="X162" s="126"/>
    </row>
    <row r="163" spans="1:24" ht="10.5" customHeight="1" x14ac:dyDescent="0.25">
      <c r="A163" s="121">
        <v>162</v>
      </c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31"/>
      <c r="N163" s="131"/>
      <c r="O163" s="131"/>
      <c r="P163" s="125" t="s">
        <v>182</v>
      </c>
      <c r="Q163" s="126"/>
      <c r="R163" s="126"/>
      <c r="S163" s="126"/>
      <c r="T163" s="126"/>
      <c r="U163" s="126"/>
      <c r="V163" s="125" t="s">
        <v>587</v>
      </c>
      <c r="W163" s="125" t="s">
        <v>320</v>
      </c>
      <c r="X163" s="126"/>
    </row>
    <row r="164" spans="1:24" ht="10.5" customHeight="1" x14ac:dyDescent="0.25">
      <c r="A164" s="121">
        <v>163</v>
      </c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31"/>
      <c r="N164" s="131"/>
      <c r="O164" s="131"/>
      <c r="P164" s="125" t="s">
        <v>183</v>
      </c>
      <c r="Q164" s="126"/>
      <c r="R164" s="126"/>
      <c r="S164" s="126"/>
      <c r="T164" s="126"/>
      <c r="U164" s="126"/>
      <c r="V164" s="126"/>
      <c r="W164" s="125" t="s">
        <v>321</v>
      </c>
      <c r="X164" s="126"/>
    </row>
    <row r="165" spans="1:24" ht="10.5" customHeight="1" x14ac:dyDescent="0.25">
      <c r="A165" s="121">
        <v>164</v>
      </c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31"/>
      <c r="N165" s="131"/>
      <c r="O165" s="131"/>
      <c r="P165" s="125" t="s">
        <v>184</v>
      </c>
      <c r="Q165" s="126"/>
      <c r="R165" s="126"/>
      <c r="S165" s="126"/>
      <c r="T165" s="126"/>
      <c r="U165" s="126"/>
      <c r="V165" s="126"/>
      <c r="W165" s="125" t="s">
        <v>325</v>
      </c>
      <c r="X165" s="126"/>
    </row>
    <row r="166" spans="1:24" ht="10.5" customHeight="1" x14ac:dyDescent="0.25">
      <c r="A166" s="121">
        <v>165</v>
      </c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31"/>
      <c r="N166" s="131"/>
      <c r="O166" s="131"/>
      <c r="P166" s="125" t="s">
        <v>185</v>
      </c>
      <c r="Q166" s="126"/>
      <c r="R166" s="126"/>
      <c r="S166" s="126"/>
      <c r="T166" s="126"/>
      <c r="U166" s="126"/>
      <c r="V166" s="126"/>
      <c r="W166" s="125" t="s">
        <v>326</v>
      </c>
      <c r="X166" s="126"/>
    </row>
    <row r="167" spans="1:24" ht="10.5" customHeight="1" x14ac:dyDescent="0.25">
      <c r="A167" s="121">
        <v>166</v>
      </c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31"/>
      <c r="N167" s="131"/>
      <c r="O167" s="131"/>
      <c r="P167" s="126"/>
      <c r="Q167" s="126"/>
      <c r="R167" s="126"/>
      <c r="S167" s="126"/>
      <c r="T167" s="131"/>
      <c r="U167" s="126"/>
      <c r="W167" s="125" t="s">
        <v>327</v>
      </c>
      <c r="X167" s="124"/>
    </row>
    <row r="168" spans="1:24" ht="10.5" customHeight="1" x14ac:dyDescent="0.25">
      <c r="A168" s="121">
        <v>167</v>
      </c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31"/>
      <c r="N168" s="131"/>
      <c r="O168" s="131"/>
      <c r="P168" s="126"/>
      <c r="Q168" s="126"/>
      <c r="R168" s="126"/>
      <c r="S168" s="126"/>
      <c r="T168" s="131"/>
      <c r="U168" s="126"/>
      <c r="W168" s="125" t="s">
        <v>328</v>
      </c>
      <c r="X168" s="124"/>
    </row>
    <row r="169" spans="1:24" ht="10.5" customHeight="1" x14ac:dyDescent="0.25">
      <c r="A169" s="121">
        <v>168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31"/>
      <c r="N169" s="131"/>
      <c r="O169" s="131"/>
      <c r="P169" s="126"/>
      <c r="Q169" s="126"/>
      <c r="R169" s="126"/>
      <c r="S169" s="126"/>
      <c r="T169" s="131"/>
      <c r="U169" s="126"/>
      <c r="W169" s="125" t="s">
        <v>329</v>
      </c>
      <c r="X169" s="124"/>
    </row>
    <row r="170" spans="1:24" ht="10.5" customHeight="1" x14ac:dyDescent="0.25">
      <c r="A170" s="121">
        <v>169</v>
      </c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31"/>
      <c r="N170" s="131"/>
      <c r="O170" s="131"/>
      <c r="P170" s="126"/>
      <c r="Q170" s="126"/>
      <c r="R170" s="126"/>
      <c r="S170" s="126"/>
      <c r="T170" s="131"/>
      <c r="U170" s="126"/>
      <c r="W170" s="125" t="s">
        <v>330</v>
      </c>
      <c r="X170" s="124"/>
    </row>
    <row r="171" spans="1:24" ht="10.5" customHeight="1" x14ac:dyDescent="0.25">
      <c r="A171" s="121">
        <v>170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31"/>
      <c r="N171" s="131"/>
      <c r="O171" s="131"/>
      <c r="P171" s="126"/>
      <c r="Q171" s="126"/>
      <c r="R171" s="126"/>
      <c r="S171" s="126"/>
      <c r="T171" s="131"/>
      <c r="U171" s="126"/>
      <c r="W171" s="125" t="s">
        <v>496</v>
      </c>
      <c r="X171" s="124"/>
    </row>
    <row r="172" spans="1:24" ht="10.5" customHeight="1" x14ac:dyDescent="0.25">
      <c r="A172" s="121">
        <v>171</v>
      </c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31"/>
      <c r="N172" s="131"/>
      <c r="O172" s="131"/>
      <c r="P172" s="126"/>
      <c r="Q172" s="126"/>
      <c r="R172" s="126"/>
      <c r="S172" s="126"/>
      <c r="T172" s="131"/>
      <c r="U172" s="126"/>
      <c r="W172" s="125" t="s">
        <v>331</v>
      </c>
      <c r="X172" s="124"/>
    </row>
    <row r="173" spans="1:24" ht="10.5" customHeight="1" x14ac:dyDescent="0.25">
      <c r="A173" s="121">
        <v>172</v>
      </c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31"/>
      <c r="N173" s="131"/>
      <c r="O173" s="131"/>
      <c r="P173" s="126"/>
      <c r="Q173" s="126"/>
      <c r="R173" s="126"/>
      <c r="S173" s="126"/>
      <c r="T173" s="131"/>
      <c r="U173" s="126"/>
      <c r="W173" s="125" t="s">
        <v>332</v>
      </c>
      <c r="X173" s="124"/>
    </row>
    <row r="174" spans="1:24" ht="10.5" customHeight="1" x14ac:dyDescent="0.25">
      <c r="A174" s="121">
        <v>173</v>
      </c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31"/>
      <c r="N174" s="131"/>
      <c r="O174" s="131"/>
      <c r="P174" s="126"/>
      <c r="Q174" s="126"/>
      <c r="R174" s="126"/>
      <c r="S174" s="126"/>
      <c r="T174" s="131"/>
      <c r="U174" s="126"/>
      <c r="W174" s="125" t="s">
        <v>333</v>
      </c>
      <c r="X174" s="124"/>
    </row>
    <row r="175" spans="1:24" ht="10.5" customHeight="1" x14ac:dyDescent="0.25">
      <c r="A175" s="121">
        <v>174</v>
      </c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31"/>
      <c r="N175" s="131"/>
      <c r="O175" s="131"/>
      <c r="P175" s="126"/>
      <c r="Q175" s="126"/>
      <c r="R175" s="126"/>
      <c r="S175" s="126"/>
      <c r="T175" s="131"/>
      <c r="U175" s="126"/>
      <c r="W175" s="125" t="s">
        <v>334</v>
      </c>
      <c r="X175" s="124"/>
    </row>
    <row r="176" spans="1:24" ht="10.5" customHeight="1" x14ac:dyDescent="0.25">
      <c r="A176" s="121">
        <v>175</v>
      </c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31"/>
      <c r="N176" s="131"/>
      <c r="O176" s="131"/>
      <c r="P176" s="126"/>
      <c r="Q176" s="126"/>
      <c r="R176" s="126"/>
      <c r="S176" s="126"/>
      <c r="T176" s="131"/>
      <c r="U176" s="126"/>
      <c r="W176" s="125" t="s">
        <v>337</v>
      </c>
      <c r="X176" s="124"/>
    </row>
    <row r="177" spans="1:24" ht="10.5" customHeight="1" x14ac:dyDescent="0.25">
      <c r="A177" s="121">
        <v>176</v>
      </c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31"/>
      <c r="N177" s="131"/>
      <c r="O177" s="131"/>
      <c r="P177" s="126"/>
      <c r="Q177" s="126"/>
      <c r="R177" s="126"/>
      <c r="S177" s="126"/>
      <c r="T177" s="131"/>
      <c r="U177" s="126"/>
      <c r="W177" s="125" t="s">
        <v>338</v>
      </c>
      <c r="X177" s="124"/>
    </row>
    <row r="178" spans="1:24" ht="10.5" customHeight="1" x14ac:dyDescent="0.25">
      <c r="A178" s="121">
        <v>177</v>
      </c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31"/>
      <c r="N178" s="131"/>
      <c r="O178" s="131"/>
      <c r="P178" s="126"/>
      <c r="Q178" s="126"/>
      <c r="R178" s="126"/>
      <c r="S178" s="126"/>
      <c r="T178" s="131"/>
      <c r="U178" s="126"/>
      <c r="W178" s="125" t="s">
        <v>340</v>
      </c>
      <c r="X178" s="124"/>
    </row>
    <row r="179" spans="1:24" ht="10.5" customHeight="1" x14ac:dyDescent="0.25">
      <c r="A179" s="121">
        <v>178</v>
      </c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31"/>
      <c r="N179" s="131"/>
      <c r="O179" s="131"/>
      <c r="P179" s="126"/>
      <c r="Q179" s="126"/>
      <c r="R179" s="126"/>
      <c r="S179" s="126"/>
      <c r="T179" s="131"/>
      <c r="U179" s="126"/>
      <c r="W179" s="125" t="s">
        <v>341</v>
      </c>
      <c r="X179" s="124"/>
    </row>
    <row r="180" spans="1:24" ht="10.5" customHeight="1" x14ac:dyDescent="0.25">
      <c r="A180" s="121">
        <v>179</v>
      </c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31"/>
      <c r="N180" s="131"/>
      <c r="O180" s="131"/>
      <c r="P180" s="126"/>
      <c r="Q180" s="126"/>
      <c r="R180" s="126"/>
      <c r="S180" s="126"/>
      <c r="T180" s="131"/>
      <c r="U180" s="126"/>
      <c r="W180" s="125" t="s">
        <v>342</v>
      </c>
      <c r="X180" s="124"/>
    </row>
    <row r="181" spans="1:24" ht="10.5" customHeight="1" x14ac:dyDescent="0.25">
      <c r="A181" s="121">
        <v>180</v>
      </c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31"/>
      <c r="N181" s="131"/>
      <c r="O181" s="131"/>
      <c r="P181" s="126"/>
      <c r="Q181" s="126"/>
      <c r="R181" s="126"/>
      <c r="S181" s="126"/>
      <c r="T181" s="131"/>
      <c r="U181" s="126"/>
      <c r="W181" s="125" t="s">
        <v>343</v>
      </c>
      <c r="X181" s="124"/>
    </row>
    <row r="182" spans="1:24" ht="10.5" customHeight="1" x14ac:dyDescent="0.25">
      <c r="A182" s="121">
        <v>181</v>
      </c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31"/>
      <c r="N182" s="131"/>
      <c r="O182" s="131"/>
      <c r="P182" s="126"/>
      <c r="Q182" s="126"/>
      <c r="R182" s="126"/>
      <c r="S182" s="126"/>
      <c r="T182" s="131"/>
      <c r="U182" s="126"/>
      <c r="W182" s="125" t="s">
        <v>344</v>
      </c>
      <c r="X182" s="124"/>
    </row>
    <row r="183" spans="1:24" ht="10.5" customHeight="1" x14ac:dyDescent="0.25">
      <c r="A183" s="121">
        <v>182</v>
      </c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31"/>
      <c r="N183" s="131"/>
      <c r="O183" s="131"/>
      <c r="P183" s="126"/>
      <c r="Q183" s="126"/>
      <c r="R183" s="126"/>
      <c r="S183" s="126"/>
      <c r="T183" s="131"/>
      <c r="U183" s="126"/>
      <c r="W183" s="125" t="s">
        <v>345</v>
      </c>
      <c r="X183" s="124"/>
    </row>
    <row r="184" spans="1:24" ht="10.5" customHeight="1" x14ac:dyDescent="0.25">
      <c r="A184" s="121">
        <v>183</v>
      </c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31"/>
      <c r="N184" s="131"/>
      <c r="O184" s="131"/>
      <c r="P184" s="126"/>
      <c r="Q184" s="126"/>
      <c r="R184" s="126"/>
      <c r="S184" s="126"/>
      <c r="T184" s="131"/>
      <c r="U184" s="126"/>
      <c r="W184" s="125" t="s">
        <v>346</v>
      </c>
      <c r="X184" s="124"/>
    </row>
    <row r="185" spans="1:24" ht="10.5" customHeight="1" x14ac:dyDescent="0.25">
      <c r="A185" s="121">
        <v>184</v>
      </c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31"/>
      <c r="N185" s="131"/>
      <c r="O185" s="131"/>
      <c r="P185" s="126"/>
      <c r="Q185" s="126"/>
      <c r="R185" s="126"/>
      <c r="S185" s="126"/>
      <c r="T185" s="131"/>
      <c r="U185" s="126"/>
      <c r="W185" s="125" t="s">
        <v>347</v>
      </c>
      <c r="X185" s="124"/>
    </row>
    <row r="186" spans="1:24" ht="10.5" customHeight="1" x14ac:dyDescent="0.25">
      <c r="A186" s="121">
        <v>185</v>
      </c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31"/>
      <c r="N186" s="131"/>
      <c r="O186" s="131"/>
      <c r="P186" s="126"/>
      <c r="Q186" s="126"/>
      <c r="R186" s="126"/>
      <c r="S186" s="126"/>
      <c r="T186" s="131"/>
      <c r="U186" s="126"/>
      <c r="W186" s="125" t="s">
        <v>350</v>
      </c>
      <c r="X186" s="124"/>
    </row>
    <row r="187" spans="1:24" ht="10.5" customHeight="1" x14ac:dyDescent="0.25">
      <c r="A187" s="121">
        <v>186</v>
      </c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31"/>
      <c r="N187" s="131"/>
      <c r="O187" s="131"/>
      <c r="P187" s="126"/>
      <c r="Q187" s="126"/>
      <c r="R187" s="126"/>
      <c r="S187" s="126"/>
      <c r="T187" s="131"/>
      <c r="U187" s="126"/>
      <c r="W187" s="125" t="s">
        <v>351</v>
      </c>
      <c r="X187" s="124"/>
    </row>
    <row r="188" spans="1:24" ht="10.5" customHeight="1" x14ac:dyDescent="0.25">
      <c r="A188" s="121">
        <v>187</v>
      </c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31"/>
      <c r="N188" s="131"/>
      <c r="O188" s="131"/>
      <c r="P188" s="126"/>
      <c r="Q188" s="126"/>
      <c r="R188" s="126"/>
      <c r="S188" s="126"/>
      <c r="T188" s="131"/>
      <c r="U188" s="126"/>
      <c r="W188" s="125" t="s">
        <v>352</v>
      </c>
      <c r="X188" s="124"/>
    </row>
    <row r="189" spans="1:24" ht="10.5" customHeight="1" x14ac:dyDescent="0.25">
      <c r="A189" s="121">
        <v>188</v>
      </c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31"/>
      <c r="N189" s="131"/>
      <c r="O189" s="131"/>
      <c r="P189" s="126"/>
      <c r="Q189" s="126"/>
      <c r="R189" s="126"/>
      <c r="S189" s="126"/>
      <c r="T189" s="131"/>
      <c r="U189" s="126"/>
      <c r="W189" s="125" t="s">
        <v>354</v>
      </c>
      <c r="X189" s="124"/>
    </row>
    <row r="190" spans="1:24" ht="10.5" customHeight="1" x14ac:dyDescent="0.25">
      <c r="A190" s="121">
        <v>189</v>
      </c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31"/>
      <c r="N190" s="131"/>
      <c r="O190" s="131"/>
      <c r="P190" s="126"/>
      <c r="Q190" s="126"/>
      <c r="R190" s="126"/>
      <c r="S190" s="126"/>
      <c r="T190" s="131"/>
      <c r="U190" s="126"/>
      <c r="W190" s="125" t="s">
        <v>355</v>
      </c>
      <c r="X190" s="124"/>
    </row>
    <row r="191" spans="1:24" ht="10.5" customHeight="1" x14ac:dyDescent="0.25">
      <c r="A191" s="121">
        <v>190</v>
      </c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31"/>
      <c r="N191" s="131"/>
      <c r="O191" s="131"/>
      <c r="P191" s="126"/>
      <c r="Q191" s="126"/>
      <c r="R191" s="126"/>
      <c r="S191" s="126"/>
      <c r="T191" s="131"/>
      <c r="U191" s="126"/>
      <c r="W191" s="125" t="s">
        <v>356</v>
      </c>
      <c r="X191" s="124"/>
    </row>
    <row r="192" spans="1:24" ht="10.5" customHeight="1" x14ac:dyDescent="0.25">
      <c r="A192" s="121">
        <v>191</v>
      </c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31"/>
      <c r="N192" s="131"/>
      <c r="O192" s="131"/>
      <c r="P192" s="126"/>
      <c r="Q192" s="126"/>
      <c r="R192" s="126"/>
      <c r="S192" s="126"/>
      <c r="T192" s="131"/>
      <c r="U192" s="126"/>
      <c r="W192" s="125" t="s">
        <v>357</v>
      </c>
      <c r="X192" s="124"/>
    </row>
    <row r="193" spans="1:24" ht="10.5" customHeight="1" x14ac:dyDescent="0.25">
      <c r="A193" s="121">
        <v>192</v>
      </c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31"/>
      <c r="N193" s="131"/>
      <c r="O193" s="131"/>
      <c r="P193" s="126"/>
      <c r="Q193" s="126"/>
      <c r="R193" s="126"/>
      <c r="S193" s="126"/>
      <c r="T193" s="131"/>
      <c r="U193" s="126"/>
      <c r="W193" s="125" t="s">
        <v>358</v>
      </c>
      <c r="X193" s="124"/>
    </row>
    <row r="194" spans="1:24" ht="10.5" customHeight="1" x14ac:dyDescent="0.25">
      <c r="A194" s="121">
        <v>193</v>
      </c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31"/>
      <c r="N194" s="131"/>
      <c r="O194" s="131"/>
      <c r="P194" s="126"/>
      <c r="Q194" s="126"/>
      <c r="R194" s="126"/>
      <c r="S194" s="126"/>
      <c r="T194" s="131"/>
      <c r="U194" s="126"/>
      <c r="W194" s="125" t="s">
        <v>359</v>
      </c>
      <c r="X194" s="124"/>
    </row>
    <row r="195" spans="1:24" ht="10.5" customHeight="1" x14ac:dyDescent="0.25">
      <c r="A195" s="121">
        <v>194</v>
      </c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31"/>
      <c r="N195" s="131"/>
      <c r="O195" s="131"/>
      <c r="P195" s="126"/>
      <c r="Q195" s="126"/>
      <c r="R195" s="126"/>
      <c r="S195" s="126"/>
      <c r="T195" s="131"/>
      <c r="U195" s="126"/>
      <c r="W195" s="125" t="s">
        <v>360</v>
      </c>
      <c r="X195" s="124"/>
    </row>
    <row r="196" spans="1:24" ht="10.5" customHeight="1" x14ac:dyDescent="0.25">
      <c r="A196" s="121">
        <v>195</v>
      </c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31"/>
      <c r="N196" s="131"/>
      <c r="O196" s="131"/>
      <c r="P196" s="126"/>
      <c r="Q196" s="126"/>
      <c r="R196" s="126"/>
      <c r="S196" s="126"/>
      <c r="T196" s="131"/>
      <c r="U196" s="126"/>
      <c r="W196" s="125" t="s">
        <v>362</v>
      </c>
      <c r="X196" s="124"/>
    </row>
    <row r="197" spans="1:24" ht="10.5" customHeight="1" x14ac:dyDescent="0.25">
      <c r="A197" s="121">
        <v>196</v>
      </c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31"/>
      <c r="N197" s="131"/>
      <c r="O197" s="131"/>
      <c r="P197" s="126"/>
      <c r="Q197" s="126"/>
      <c r="R197" s="126"/>
      <c r="S197" s="126"/>
      <c r="T197" s="131"/>
      <c r="U197" s="126"/>
      <c r="W197" s="125" t="s">
        <v>363</v>
      </c>
      <c r="X197" s="124"/>
    </row>
    <row r="198" spans="1:24" ht="10.5" customHeight="1" x14ac:dyDescent="0.25">
      <c r="A198" s="121">
        <v>197</v>
      </c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31"/>
      <c r="N198" s="131"/>
      <c r="O198" s="131"/>
      <c r="P198" s="126"/>
      <c r="Q198" s="126"/>
      <c r="R198" s="126"/>
      <c r="S198" s="126"/>
      <c r="T198" s="131"/>
      <c r="U198" s="126"/>
      <c r="W198" s="125" t="s">
        <v>364</v>
      </c>
      <c r="X198" s="124"/>
    </row>
    <row r="199" spans="1:24" ht="10.5" customHeight="1" x14ac:dyDescent="0.25">
      <c r="A199" s="121">
        <v>198</v>
      </c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31"/>
      <c r="N199" s="131"/>
      <c r="O199" s="131"/>
      <c r="P199" s="126"/>
      <c r="Q199" s="126"/>
      <c r="R199" s="126"/>
      <c r="S199" s="126"/>
      <c r="T199" s="131"/>
      <c r="U199" s="126"/>
      <c r="W199" s="125" t="s">
        <v>365</v>
      </c>
      <c r="X199" s="124"/>
    </row>
    <row r="200" spans="1:24" ht="10.5" customHeight="1" x14ac:dyDescent="0.25">
      <c r="A200" s="121">
        <v>199</v>
      </c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31"/>
      <c r="N200" s="131"/>
      <c r="O200" s="131"/>
      <c r="P200" s="126"/>
      <c r="Q200" s="126"/>
      <c r="R200" s="126"/>
      <c r="S200" s="126"/>
      <c r="T200" s="131"/>
      <c r="U200" s="126"/>
      <c r="W200" s="125" t="s">
        <v>367</v>
      </c>
      <c r="X200" s="124"/>
    </row>
    <row r="201" spans="1:24" ht="10.5" customHeight="1" x14ac:dyDescent="0.25">
      <c r="A201" s="121">
        <v>200</v>
      </c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31"/>
      <c r="N201" s="131"/>
      <c r="O201" s="131"/>
      <c r="P201" s="126"/>
      <c r="Q201" s="126"/>
      <c r="R201" s="126"/>
      <c r="S201" s="126"/>
      <c r="T201" s="131"/>
      <c r="U201" s="126"/>
      <c r="W201" s="125" t="s">
        <v>368</v>
      </c>
      <c r="X201" s="124"/>
    </row>
    <row r="202" spans="1:24" ht="10.5" customHeight="1" x14ac:dyDescent="0.25">
      <c r="A202" s="121">
        <v>201</v>
      </c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31"/>
      <c r="N202" s="131"/>
      <c r="O202" s="131"/>
      <c r="P202" s="126"/>
      <c r="Q202" s="126"/>
      <c r="R202" s="126"/>
      <c r="S202" s="126"/>
      <c r="T202" s="131"/>
      <c r="U202" s="126"/>
      <c r="W202" s="125" t="s">
        <v>369</v>
      </c>
      <c r="X202" s="124"/>
    </row>
    <row r="203" spans="1:24" ht="10.5" customHeight="1" x14ac:dyDescent="0.25">
      <c r="A203" s="121">
        <v>202</v>
      </c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31"/>
      <c r="N203" s="131"/>
      <c r="O203" s="131"/>
      <c r="P203" s="126"/>
      <c r="Q203" s="126"/>
      <c r="R203" s="126"/>
      <c r="S203" s="126"/>
      <c r="T203" s="131"/>
      <c r="U203" s="126"/>
      <c r="W203" s="125" t="s">
        <v>370</v>
      </c>
      <c r="X203" s="124"/>
    </row>
    <row r="204" spans="1:24" ht="10.5" customHeight="1" x14ac:dyDescent="0.25">
      <c r="A204" s="121">
        <v>203</v>
      </c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31"/>
      <c r="N204" s="131"/>
      <c r="O204" s="131"/>
      <c r="P204" s="126"/>
      <c r="Q204" s="126"/>
      <c r="R204" s="126"/>
      <c r="S204" s="126"/>
      <c r="T204" s="131"/>
      <c r="U204" s="126"/>
      <c r="W204" s="125" t="s">
        <v>374</v>
      </c>
      <c r="X204" s="124"/>
    </row>
    <row r="205" spans="1:24" ht="10.5" customHeight="1" x14ac:dyDescent="0.25">
      <c r="A205" s="121">
        <v>204</v>
      </c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31"/>
      <c r="N205" s="131"/>
      <c r="O205" s="131"/>
      <c r="P205" s="126"/>
      <c r="Q205" s="126"/>
      <c r="R205" s="126"/>
      <c r="S205" s="126"/>
      <c r="T205" s="131"/>
      <c r="U205" s="126"/>
      <c r="W205" s="125" t="s">
        <v>376</v>
      </c>
      <c r="X205" s="124"/>
    </row>
    <row r="206" spans="1:24" ht="10.5" customHeight="1" x14ac:dyDescent="0.25">
      <c r="A206" s="121">
        <v>205</v>
      </c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31"/>
      <c r="N206" s="131"/>
      <c r="O206" s="131"/>
      <c r="P206" s="126"/>
      <c r="Q206" s="126"/>
      <c r="R206" s="126"/>
      <c r="S206" s="126"/>
      <c r="T206" s="131"/>
      <c r="U206" s="126"/>
      <c r="W206" s="125" t="s">
        <v>377</v>
      </c>
      <c r="X206" s="124"/>
    </row>
    <row r="207" spans="1:24" ht="10.5" customHeight="1" x14ac:dyDescent="0.25">
      <c r="A207" s="121">
        <v>206</v>
      </c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31"/>
      <c r="N207" s="131"/>
      <c r="O207" s="131"/>
      <c r="P207" s="126"/>
      <c r="Q207" s="126"/>
      <c r="R207" s="126"/>
      <c r="S207" s="126"/>
      <c r="T207" s="131"/>
      <c r="U207" s="126"/>
      <c r="W207" s="125" t="s">
        <v>378</v>
      </c>
      <c r="X207" s="124"/>
    </row>
    <row r="208" spans="1:24" ht="10.5" customHeight="1" x14ac:dyDescent="0.25">
      <c r="A208" s="121">
        <v>207</v>
      </c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31"/>
      <c r="N208" s="131"/>
      <c r="O208" s="131"/>
      <c r="P208" s="126"/>
      <c r="Q208" s="126"/>
      <c r="R208" s="126"/>
      <c r="S208" s="126"/>
      <c r="T208" s="131"/>
      <c r="U208" s="126"/>
      <c r="W208" s="125" t="s">
        <v>381</v>
      </c>
      <c r="X208" s="124"/>
    </row>
    <row r="209" spans="1:24" ht="10.5" customHeight="1" x14ac:dyDescent="0.25">
      <c r="A209" s="121">
        <v>208</v>
      </c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31"/>
      <c r="N209" s="131"/>
      <c r="O209" s="131"/>
      <c r="P209" s="126"/>
      <c r="Q209" s="126"/>
      <c r="R209" s="126"/>
      <c r="S209" s="126"/>
      <c r="T209" s="131"/>
      <c r="U209" s="126"/>
      <c r="W209" s="125" t="s">
        <v>385</v>
      </c>
      <c r="X209" s="124"/>
    </row>
    <row r="210" spans="1:24" ht="10.5" customHeight="1" x14ac:dyDescent="0.25">
      <c r="A210" s="121">
        <v>209</v>
      </c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31"/>
      <c r="N210" s="131"/>
      <c r="O210" s="131"/>
      <c r="P210" s="126"/>
      <c r="Q210" s="126"/>
      <c r="R210" s="126"/>
      <c r="S210" s="126"/>
      <c r="T210" s="131"/>
      <c r="U210" s="126"/>
      <c r="W210" s="125" t="s">
        <v>387</v>
      </c>
      <c r="X210" s="124"/>
    </row>
    <row r="211" spans="1:24" ht="10.5" customHeight="1" x14ac:dyDescent="0.25">
      <c r="A211" s="121">
        <v>210</v>
      </c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31"/>
      <c r="N211" s="131"/>
      <c r="O211" s="131"/>
      <c r="P211" s="126"/>
      <c r="Q211" s="126"/>
      <c r="R211" s="126"/>
      <c r="S211" s="126"/>
      <c r="T211" s="131"/>
      <c r="U211" s="126"/>
      <c r="W211" s="125" t="s">
        <v>388</v>
      </c>
      <c r="X211" s="124"/>
    </row>
    <row r="212" spans="1:24" ht="10.5" customHeight="1" x14ac:dyDescent="0.25">
      <c r="A212" s="121">
        <v>211</v>
      </c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31"/>
      <c r="N212" s="131"/>
      <c r="O212" s="131"/>
      <c r="P212" s="126"/>
      <c r="Q212" s="126"/>
      <c r="R212" s="126"/>
      <c r="S212" s="126"/>
      <c r="T212" s="131"/>
      <c r="U212" s="126"/>
      <c r="W212" s="125" t="s">
        <v>389</v>
      </c>
      <c r="X212" s="124"/>
    </row>
    <row r="213" spans="1:24" ht="10.5" customHeight="1" x14ac:dyDescent="0.25">
      <c r="A213" s="121">
        <v>212</v>
      </c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31"/>
      <c r="N213" s="131"/>
      <c r="O213" s="131"/>
      <c r="P213" s="126"/>
      <c r="Q213" s="126"/>
      <c r="R213" s="126"/>
      <c r="S213" s="126"/>
      <c r="T213" s="131"/>
      <c r="U213" s="126"/>
      <c r="W213" s="125" t="s">
        <v>390</v>
      </c>
      <c r="X213" s="124"/>
    </row>
    <row r="214" spans="1:24" ht="10.5" customHeight="1" x14ac:dyDescent="0.25">
      <c r="A214" s="121">
        <v>213</v>
      </c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31"/>
      <c r="N214" s="131"/>
      <c r="O214" s="131"/>
      <c r="P214" s="126"/>
      <c r="Q214" s="126"/>
      <c r="R214" s="126"/>
      <c r="S214" s="126"/>
      <c r="T214" s="131"/>
      <c r="U214" s="126"/>
      <c r="W214" s="125" t="s">
        <v>391</v>
      </c>
      <c r="X214" s="124"/>
    </row>
    <row r="215" spans="1:24" ht="10.5" customHeight="1" x14ac:dyDescent="0.25">
      <c r="A215" s="121">
        <v>214</v>
      </c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31"/>
      <c r="N215" s="131"/>
      <c r="O215" s="131"/>
      <c r="P215" s="126"/>
      <c r="Q215" s="126"/>
      <c r="R215" s="126"/>
      <c r="S215" s="126"/>
      <c r="T215" s="131"/>
      <c r="U215" s="126"/>
      <c r="W215" s="125" t="s">
        <v>392</v>
      </c>
      <c r="X215" s="124"/>
    </row>
    <row r="216" spans="1:24" ht="10.5" customHeight="1" x14ac:dyDescent="0.25">
      <c r="A216" s="121">
        <v>215</v>
      </c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31"/>
      <c r="N216" s="131"/>
      <c r="O216" s="131"/>
      <c r="P216" s="126"/>
      <c r="Q216" s="126"/>
      <c r="R216" s="126"/>
      <c r="S216" s="126"/>
      <c r="T216" s="131"/>
      <c r="U216" s="126"/>
      <c r="W216" s="125" t="s">
        <v>393</v>
      </c>
      <c r="X216" s="124"/>
    </row>
    <row r="217" spans="1:24" ht="10.5" customHeight="1" x14ac:dyDescent="0.25">
      <c r="A217" s="121">
        <v>216</v>
      </c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31"/>
      <c r="N217" s="131"/>
      <c r="O217" s="131"/>
      <c r="P217" s="126"/>
      <c r="Q217" s="126"/>
      <c r="R217" s="126"/>
      <c r="S217" s="126"/>
      <c r="T217" s="131"/>
      <c r="U217" s="126"/>
      <c r="W217" s="125" t="s">
        <v>394</v>
      </c>
      <c r="X217" s="124"/>
    </row>
    <row r="218" spans="1:24" ht="10.5" customHeight="1" x14ac:dyDescent="0.25">
      <c r="A218" s="121">
        <v>217</v>
      </c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31"/>
      <c r="N218" s="131"/>
      <c r="O218" s="131"/>
      <c r="P218" s="126"/>
      <c r="Q218" s="126"/>
      <c r="R218" s="126"/>
      <c r="S218" s="126"/>
      <c r="T218" s="131"/>
      <c r="U218" s="126"/>
      <c r="W218" s="125" t="s">
        <v>395</v>
      </c>
      <c r="X218" s="124"/>
    </row>
    <row r="219" spans="1:24" ht="10.5" customHeight="1" x14ac:dyDescent="0.25">
      <c r="A219" s="121">
        <v>218</v>
      </c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31"/>
      <c r="N219" s="131"/>
      <c r="O219" s="131"/>
      <c r="P219" s="126"/>
      <c r="Q219" s="126"/>
      <c r="R219" s="126"/>
      <c r="S219" s="126"/>
      <c r="T219" s="131"/>
      <c r="U219" s="126"/>
      <c r="W219" s="125" t="s">
        <v>396</v>
      </c>
      <c r="X219" s="124"/>
    </row>
    <row r="220" spans="1:24" ht="10.5" customHeight="1" x14ac:dyDescent="0.25">
      <c r="A220" s="121">
        <v>219</v>
      </c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31"/>
      <c r="N220" s="131"/>
      <c r="O220" s="131"/>
      <c r="P220" s="126"/>
      <c r="Q220" s="126"/>
      <c r="R220" s="126"/>
      <c r="S220" s="126"/>
      <c r="T220" s="131"/>
      <c r="U220" s="126"/>
      <c r="W220" s="125" t="s">
        <v>397</v>
      </c>
      <c r="X220" s="124"/>
    </row>
    <row r="221" spans="1:24" ht="10.5" customHeight="1" x14ac:dyDescent="0.25">
      <c r="A221" s="121">
        <v>220</v>
      </c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31"/>
      <c r="N221" s="131"/>
      <c r="O221" s="131"/>
      <c r="P221" s="126"/>
      <c r="Q221" s="126"/>
      <c r="R221" s="126"/>
      <c r="S221" s="126"/>
      <c r="T221" s="131"/>
      <c r="U221" s="126"/>
      <c r="W221" s="125" t="s">
        <v>398</v>
      </c>
      <c r="X221" s="124"/>
    </row>
    <row r="222" spans="1:24" ht="10.5" customHeight="1" x14ac:dyDescent="0.25">
      <c r="A222" s="121">
        <v>221</v>
      </c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31"/>
      <c r="N222" s="131"/>
      <c r="O222" s="131"/>
      <c r="P222" s="126"/>
      <c r="Q222" s="126"/>
      <c r="R222" s="126"/>
      <c r="S222" s="126"/>
      <c r="T222" s="131"/>
      <c r="U222" s="126"/>
      <c r="W222" s="125" t="s">
        <v>399</v>
      </c>
      <c r="X222" s="124"/>
    </row>
    <row r="223" spans="1:24" ht="10.5" customHeight="1" x14ac:dyDescent="0.25">
      <c r="A223" s="121">
        <v>222</v>
      </c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31"/>
      <c r="N223" s="131"/>
      <c r="O223" s="131"/>
      <c r="P223" s="126"/>
      <c r="Q223" s="126"/>
      <c r="R223" s="126"/>
      <c r="S223" s="126"/>
      <c r="T223" s="131"/>
      <c r="U223" s="126"/>
      <c r="W223" s="125" t="s">
        <v>400</v>
      </c>
      <c r="X223" s="124"/>
    </row>
    <row r="224" spans="1:24" ht="10.5" customHeight="1" x14ac:dyDescent="0.25">
      <c r="A224" s="121">
        <v>223</v>
      </c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31"/>
      <c r="N224" s="131"/>
      <c r="O224" s="131"/>
      <c r="P224" s="126"/>
      <c r="Q224" s="126"/>
      <c r="R224" s="126"/>
      <c r="S224" s="126"/>
      <c r="T224" s="131"/>
      <c r="U224" s="126"/>
      <c r="W224" s="125" t="s">
        <v>401</v>
      </c>
      <c r="X224" s="124"/>
    </row>
    <row r="225" spans="1:24" ht="10.5" customHeight="1" x14ac:dyDescent="0.25">
      <c r="A225" s="121">
        <v>224</v>
      </c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31"/>
      <c r="N225" s="131"/>
      <c r="O225" s="131"/>
      <c r="P225" s="126"/>
      <c r="Q225" s="126"/>
      <c r="R225" s="126"/>
      <c r="S225" s="126"/>
      <c r="T225" s="131"/>
      <c r="U225" s="126"/>
      <c r="W225" s="125" t="s">
        <v>402</v>
      </c>
      <c r="X225" s="124"/>
    </row>
    <row r="226" spans="1:24" ht="10.5" customHeight="1" x14ac:dyDescent="0.25">
      <c r="A226" s="121">
        <v>225</v>
      </c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31"/>
      <c r="N226" s="131"/>
      <c r="O226" s="131"/>
      <c r="P226" s="126"/>
      <c r="Q226" s="126"/>
      <c r="R226" s="126"/>
      <c r="S226" s="126"/>
      <c r="T226" s="131"/>
      <c r="U226" s="126"/>
      <c r="W226" s="125" t="s">
        <v>403</v>
      </c>
      <c r="X226" s="124"/>
    </row>
    <row r="227" spans="1:24" ht="10.5" customHeight="1" x14ac:dyDescent="0.25">
      <c r="A227" s="121">
        <v>226</v>
      </c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31"/>
      <c r="N227" s="131"/>
      <c r="O227" s="131"/>
      <c r="P227" s="126"/>
      <c r="Q227" s="126"/>
      <c r="R227" s="126"/>
      <c r="S227" s="126"/>
      <c r="T227" s="131"/>
      <c r="U227" s="126"/>
      <c r="W227" s="125" t="s">
        <v>404</v>
      </c>
      <c r="X227" s="124"/>
    </row>
    <row r="228" spans="1:24" ht="10.5" customHeight="1" x14ac:dyDescent="0.25">
      <c r="A228" s="121">
        <v>227</v>
      </c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31"/>
      <c r="N228" s="131"/>
      <c r="O228" s="131"/>
      <c r="P228" s="126"/>
      <c r="Q228" s="126"/>
      <c r="R228" s="126"/>
      <c r="S228" s="126"/>
      <c r="T228" s="131"/>
      <c r="U228" s="126"/>
      <c r="W228" s="125" t="s">
        <v>405</v>
      </c>
      <c r="X228" s="124"/>
    </row>
    <row r="229" spans="1:24" ht="10.5" customHeight="1" x14ac:dyDescent="0.25">
      <c r="A229" s="121">
        <v>228</v>
      </c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31"/>
      <c r="N229" s="131"/>
      <c r="O229" s="131"/>
      <c r="P229" s="126"/>
      <c r="Q229" s="126"/>
      <c r="R229" s="126"/>
      <c r="S229" s="126"/>
      <c r="T229" s="131"/>
      <c r="U229" s="126"/>
      <c r="W229" s="125" t="s">
        <v>406</v>
      </c>
      <c r="X229" s="124"/>
    </row>
    <row r="230" spans="1:24" ht="10.5" customHeight="1" x14ac:dyDescent="0.25">
      <c r="A230" s="121">
        <v>229</v>
      </c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31"/>
      <c r="N230" s="131"/>
      <c r="O230" s="131"/>
      <c r="P230" s="126"/>
      <c r="Q230" s="126"/>
      <c r="R230" s="126"/>
      <c r="S230" s="126"/>
      <c r="T230" s="131"/>
      <c r="U230" s="126"/>
      <c r="W230" s="125" t="s">
        <v>408</v>
      </c>
      <c r="X230" s="124"/>
    </row>
    <row r="231" spans="1:24" ht="10.5" customHeight="1" x14ac:dyDescent="0.25">
      <c r="A231" s="121">
        <v>230</v>
      </c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31"/>
      <c r="N231" s="131"/>
      <c r="O231" s="131"/>
      <c r="P231" s="126"/>
      <c r="Q231" s="126"/>
      <c r="R231" s="126"/>
      <c r="S231" s="126"/>
      <c r="T231" s="131"/>
      <c r="U231" s="126"/>
      <c r="W231" s="125" t="s">
        <v>409</v>
      </c>
      <c r="X231" s="124"/>
    </row>
    <row r="232" spans="1:24" ht="10.5" customHeight="1" x14ac:dyDescent="0.25">
      <c r="A232" s="121">
        <v>231</v>
      </c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31"/>
      <c r="N232" s="131"/>
      <c r="O232" s="131"/>
      <c r="P232" s="126"/>
      <c r="Q232" s="126"/>
      <c r="R232" s="126"/>
      <c r="S232" s="126"/>
      <c r="T232" s="131"/>
      <c r="U232" s="126"/>
      <c r="W232" s="125" t="s">
        <v>411</v>
      </c>
      <c r="X232" s="124"/>
    </row>
    <row r="233" spans="1:24" ht="10.5" customHeight="1" x14ac:dyDescent="0.25">
      <c r="A233" s="121">
        <v>232</v>
      </c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31"/>
      <c r="N233" s="131"/>
      <c r="O233" s="131"/>
      <c r="P233" s="126"/>
      <c r="Q233" s="126"/>
      <c r="R233" s="126"/>
      <c r="S233" s="126"/>
      <c r="T233" s="131"/>
      <c r="U233" s="126"/>
      <c r="W233" s="125" t="s">
        <v>413</v>
      </c>
      <c r="X233" s="124"/>
    </row>
    <row r="234" spans="1:24" ht="10.5" customHeight="1" x14ac:dyDescent="0.25">
      <c r="A234" s="121">
        <v>233</v>
      </c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31"/>
      <c r="N234" s="131"/>
      <c r="O234" s="131"/>
      <c r="P234" s="126"/>
      <c r="Q234" s="126"/>
      <c r="R234" s="126"/>
      <c r="S234" s="126"/>
      <c r="T234" s="131"/>
      <c r="U234" s="126"/>
      <c r="W234" s="125" t="s">
        <v>414</v>
      </c>
      <c r="X234" s="124"/>
    </row>
    <row r="235" spans="1:24" ht="10.5" customHeight="1" x14ac:dyDescent="0.25">
      <c r="A235" s="121">
        <v>234</v>
      </c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31"/>
      <c r="N235" s="131"/>
      <c r="O235" s="131"/>
      <c r="P235" s="126"/>
      <c r="Q235" s="126"/>
      <c r="R235" s="126"/>
      <c r="S235" s="126"/>
      <c r="T235" s="131"/>
      <c r="U235" s="126"/>
      <c r="W235" s="125" t="s">
        <v>416</v>
      </c>
      <c r="X235" s="124"/>
    </row>
    <row r="236" spans="1:24" ht="10.5" customHeight="1" x14ac:dyDescent="0.25">
      <c r="A236" s="121">
        <v>235</v>
      </c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31"/>
      <c r="N236" s="131"/>
      <c r="O236" s="131"/>
      <c r="P236" s="126"/>
      <c r="Q236" s="126"/>
      <c r="R236" s="126"/>
      <c r="S236" s="126"/>
      <c r="T236" s="131"/>
      <c r="U236" s="126"/>
      <c r="W236" s="125" t="s">
        <v>417</v>
      </c>
      <c r="X236" s="124"/>
    </row>
    <row r="237" spans="1:24" ht="10.5" customHeight="1" x14ac:dyDescent="0.25">
      <c r="A237" s="121">
        <v>236</v>
      </c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31"/>
      <c r="N237" s="131"/>
      <c r="O237" s="131"/>
      <c r="P237" s="126"/>
      <c r="Q237" s="126"/>
      <c r="R237" s="126"/>
      <c r="S237" s="126"/>
      <c r="T237" s="131"/>
      <c r="U237" s="126"/>
      <c r="W237" s="125" t="s">
        <v>418</v>
      </c>
      <c r="X237" s="124"/>
    </row>
    <row r="238" spans="1:24" ht="10.5" customHeight="1" x14ac:dyDescent="0.25">
      <c r="A238" s="121">
        <v>237</v>
      </c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31"/>
      <c r="N238" s="131"/>
      <c r="O238" s="131"/>
      <c r="P238" s="126"/>
      <c r="Q238" s="126"/>
      <c r="R238" s="126"/>
      <c r="S238" s="126"/>
      <c r="T238" s="131"/>
      <c r="U238" s="126"/>
      <c r="W238" s="125" t="s">
        <v>419</v>
      </c>
      <c r="X238" s="124"/>
    </row>
    <row r="239" spans="1:24" ht="10.5" customHeight="1" x14ac:dyDescent="0.25">
      <c r="A239" s="121">
        <v>238</v>
      </c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31"/>
      <c r="N239" s="131"/>
      <c r="O239" s="131"/>
      <c r="P239" s="126"/>
      <c r="Q239" s="126"/>
      <c r="R239" s="126"/>
      <c r="T239" s="131"/>
      <c r="U239" s="126"/>
      <c r="W239" s="125" t="s">
        <v>420</v>
      </c>
      <c r="X239" s="124"/>
    </row>
    <row r="240" spans="1:24" ht="10.5" customHeight="1" x14ac:dyDescent="0.25">
      <c r="A240" s="121">
        <v>239</v>
      </c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31"/>
      <c r="N240" s="131"/>
      <c r="O240" s="131"/>
      <c r="P240" s="126"/>
      <c r="Q240" s="126"/>
      <c r="R240" s="126"/>
      <c r="T240" s="131"/>
      <c r="U240" s="126"/>
      <c r="W240" s="125" t="s">
        <v>422</v>
      </c>
      <c r="X240" s="124"/>
    </row>
    <row r="241" spans="1:24" ht="10.5" customHeight="1" x14ac:dyDescent="0.25">
      <c r="A241" s="121">
        <v>240</v>
      </c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31"/>
      <c r="N241" s="131"/>
      <c r="O241" s="131"/>
      <c r="P241" s="126"/>
      <c r="Q241" s="126"/>
      <c r="R241" s="126"/>
      <c r="T241" s="131"/>
      <c r="U241" s="126"/>
      <c r="W241" s="125" t="s">
        <v>423</v>
      </c>
      <c r="X241" s="124"/>
    </row>
    <row r="242" spans="1:24" ht="10.5" customHeight="1" x14ac:dyDescent="0.25">
      <c r="A242" s="121">
        <v>241</v>
      </c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31"/>
      <c r="N242" s="131"/>
      <c r="O242" s="131"/>
      <c r="P242" s="126"/>
      <c r="Q242" s="126"/>
      <c r="R242" s="126"/>
      <c r="T242" s="131"/>
      <c r="U242" s="126"/>
      <c r="W242" s="125" t="s">
        <v>424</v>
      </c>
      <c r="X242" s="124"/>
    </row>
    <row r="243" spans="1:24" ht="10.5" customHeight="1" x14ac:dyDescent="0.25">
      <c r="A243" s="121">
        <v>242</v>
      </c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31"/>
      <c r="N243" s="131"/>
      <c r="O243" s="131"/>
      <c r="P243" s="126"/>
      <c r="Q243" s="126"/>
      <c r="R243" s="126"/>
      <c r="T243" s="131"/>
      <c r="U243" s="126"/>
      <c r="W243" s="125" t="s">
        <v>425</v>
      </c>
      <c r="X243" s="124"/>
    </row>
    <row r="244" spans="1:24" ht="10.5" customHeight="1" x14ac:dyDescent="0.25">
      <c r="A244" s="121">
        <v>243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31"/>
      <c r="N244" s="131"/>
      <c r="O244" s="131"/>
      <c r="P244" s="126"/>
      <c r="Q244" s="126"/>
      <c r="R244" s="126"/>
      <c r="T244" s="131"/>
      <c r="U244" s="126"/>
      <c r="W244" s="125" t="s">
        <v>426</v>
      </c>
      <c r="X244" s="124"/>
    </row>
    <row r="245" spans="1:24" ht="10.5" customHeight="1" x14ac:dyDescent="0.25">
      <c r="A245" s="121">
        <v>244</v>
      </c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31"/>
      <c r="N245" s="131"/>
      <c r="O245" s="131"/>
      <c r="P245" s="126"/>
      <c r="Q245" s="126"/>
      <c r="R245" s="126"/>
      <c r="T245" s="131"/>
      <c r="U245" s="126"/>
      <c r="W245" s="125" t="s">
        <v>427</v>
      </c>
      <c r="X245" s="124"/>
    </row>
    <row r="246" spans="1:24" ht="10.5" customHeight="1" x14ac:dyDescent="0.25">
      <c r="A246" s="121">
        <v>245</v>
      </c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31"/>
      <c r="N246" s="131"/>
      <c r="O246" s="131"/>
      <c r="P246" s="126"/>
      <c r="Q246" s="126"/>
      <c r="R246" s="126"/>
      <c r="T246" s="131"/>
      <c r="U246" s="126"/>
      <c r="W246" s="125" t="s">
        <v>428</v>
      </c>
      <c r="X246" s="124"/>
    </row>
    <row r="247" spans="1:24" ht="10.5" customHeight="1" x14ac:dyDescent="0.25">
      <c r="A247" s="121">
        <v>246</v>
      </c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M247" s="131"/>
      <c r="N247" s="131"/>
      <c r="O247" s="131"/>
      <c r="P247" s="126"/>
      <c r="Q247" s="126"/>
      <c r="R247" s="126"/>
      <c r="T247" s="131"/>
      <c r="U247" s="126"/>
      <c r="W247" s="125" t="s">
        <v>430</v>
      </c>
      <c r="X247" s="124"/>
    </row>
    <row r="248" spans="1:24" ht="10.5" customHeight="1" x14ac:dyDescent="0.25">
      <c r="A248" s="121">
        <v>247</v>
      </c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M248" s="131"/>
      <c r="O248" s="131"/>
      <c r="P248" s="126"/>
      <c r="Q248" s="126"/>
      <c r="R248" s="126"/>
      <c r="T248" s="131"/>
      <c r="U248" s="126"/>
      <c r="W248" s="125" t="s">
        <v>431</v>
      </c>
      <c r="X248" s="124"/>
    </row>
    <row r="249" spans="1:24" ht="10.5" customHeight="1" x14ac:dyDescent="0.25">
      <c r="T249" s="135"/>
      <c r="X249" s="124"/>
    </row>
    <row r="250" spans="1:24" ht="10.5" customHeight="1" x14ac:dyDescent="0.25">
      <c r="T250" s="135"/>
      <c r="X250" s="124"/>
    </row>
  </sheetData>
  <sheetProtection algorithmName="SHA-512" hashValue="AE+2S2SPS2IoDv8BhICVHbf6rAoxRQl6tSTgfTJZIY1g7n8Wv1xZBepQ+k+kUV0PVnbptG9tJ77P8MyFZIKwlw==" saltValue="vrNloPHdtaaEecIsMhjfJA==" spinCount="100000" sheet="1" objects="1" scenarios="1" sort="0" autoFilter="0"/>
  <autoFilter ref="A1:Y1"/>
  <sortState ref="N2:N16">
    <sortCondition ref="N2"/>
  </sortState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7 Y 5 o T P y 1 w T S o A A A A + A A A A B I A H A B D b 2 5 m a W c v U G F j a 2 F n Z S 5 4 b W w g o h g A K K A U A A A A A A A A A A A A A A A A A A A A A A A A A A A A h Y / N C o J A G E V f R W b v / J U h 8 j k u o k W Q E A T R d p g m H d I x d G x 8 t x Y 9 U q + Q U F a 7 l v d w F u c + b n f I h r o K r r r t T G N T x D B F g b a q O R p b p K h 3 p z B G m Y C t V G d Z 6 G C U b Z c M 3 T F F p X O X h B D v P f Y z 3 L Q F 4 Z Q y c s g 3 O 1 X q W q K P b P 7 L o b G d k 1 Z p J G D / i h E c R w z P 4 z j C f M G A T B h y Y 7 8 K H 4 s x B f I D Y d l X r m + 1 0 D Z c r 4 B M E 8 j 7 h X g C U E s D B B Q A A g A I A O 2 O a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j m h M K I p H u A 4 A A A A R A A A A E w A c A E Z v c m 1 1 b G F z L 1 N l Y 3 R p b 2 4 x L m 0 g o h g A K K A U A A A A A A A A A A A A A A A A A A A A A A A A A A A A K 0 5 N L s n M z 1 M I h t C G 1 g B Q S w E C L Q A U A A I A C A D t j m h M / L X B N K g A A A D 4 A A A A E g A A A A A A A A A A A A A A A A A A A A A A Q 2 9 u Z m l n L 1 B h Y 2 t h Z 2 U u e G 1 s U E s B A i 0 A F A A C A A g A 7 Y 5 o T A / K 6 a u k A A A A 6 Q A A A B M A A A A A A A A A A A A A A A A A 9 A A A A F t D b 2 5 0 Z W 5 0 X 1 R 5 c G V z X S 5 4 b W x Q S w E C L Q A U A A I A C A D t j m h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G C M 9 T h b Y t G g 3 + u a m T X U t s A A A A A A g A A A A A A A 2 Y A A M A A A A A Q A A A A h W 9 M D E i x N S G j v e e Z l d j w d w A A A A A E g A A A o A A A A B A A A A B M M b l L X 7 Y S P 2 b U y r E 1 W S k e U A A A A C R 6 9 F 5 b K / l n e n H G u B E k I + K e D H W E 3 / v 7 Q x Q n Z K F Z 3 L O y 2 m p a 5 U e V c W S F V y Q H y G / w s z H D P T F P O q 2 9 N D D t U D S C 1 V r M i V 2 8 G y e t d 8 Q X i x W C Y X I v F A A A A D P t 4 b c t L r X m Q U M W a 9 z S m K i j r E G c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3594B0997DE3459F691529E3F599E9" ma:contentTypeVersion="14" ma:contentTypeDescription="Create a new document." ma:contentTypeScope="" ma:versionID="1ffdc14ff4f0fad1238dffc8c05295f7">
  <xsd:schema xmlns:xsd="http://www.w3.org/2001/XMLSchema" xmlns:xs="http://www.w3.org/2001/XMLSchema" xmlns:p="http://schemas.microsoft.com/office/2006/metadata/properties" xmlns:ns2="6b646d74-cc6a-4615-b920-94bae3381481" targetNamespace="http://schemas.microsoft.com/office/2006/metadata/properties" ma:root="true" ma:fieldsID="7f6476bd9c02122dc1dd4fafdcc45a1a" ns2:_="">
    <xsd:import namespace="6b646d74-cc6a-4615-b920-94bae338148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46d74-cc6a-4615-b920-94bae33814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6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8DBCA1B5-810D-4336-B34B-56403BE8E0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58635-AC1C-44E2-992F-0705F63E3BC3}">
  <ds:schemaRefs/>
</ds:datastoreItem>
</file>

<file path=customXml/itemProps3.xml><?xml version="1.0" encoding="utf-8"?>
<ds:datastoreItem xmlns:ds="http://schemas.openxmlformats.org/officeDocument/2006/customXml" ds:itemID="{269C8478-CB02-4952-9B29-7A03324351E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5DCD85E-6F27-4EC3-B532-9186158223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646d74-cc6a-4615-b920-94bae3381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7390F68-94CB-4603-A9B2-A1B8369D3530}">
  <ds:schemaRefs>
    <ds:schemaRef ds:uri="http://purl.org/dc/elements/1.1/"/>
    <ds:schemaRef ds:uri="http://schemas.microsoft.com/office/2006/metadata/properties"/>
    <ds:schemaRef ds:uri="6b646d74-cc6a-4615-b920-94bae338148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D8328AA2-4AC2-4116-8918-D079418CD06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76</vt:i4>
      </vt:variant>
    </vt:vector>
  </HeadingPairs>
  <TitlesOfParts>
    <vt:vector size="82" baseType="lpstr">
      <vt:lpstr>Cover</vt:lpstr>
      <vt:lpstr>Validations</vt:lpstr>
      <vt:lpstr>General</vt:lpstr>
      <vt:lpstr>InstitutionConnections</vt:lpstr>
      <vt:lpstr>DebtIssuanceCurrency</vt:lpstr>
      <vt:lpstr>Lists</vt:lpstr>
      <vt:lpstr>lis_AccountancyStandard</vt:lpstr>
      <vt:lpstr>lis_CompanyType</vt:lpstr>
      <vt:lpstr>lis_Country</vt:lpstr>
      <vt:lpstr>lis_County</vt:lpstr>
      <vt:lpstr>lis_Currency</vt:lpstr>
      <vt:lpstr>lis_EircodeRoutingKey</vt:lpstr>
      <vt:lpstr>lis_InstitutionConnectionRole</vt:lpstr>
      <vt:lpstr>lis_LegalEntityType</vt:lpstr>
      <vt:lpstr>lis_LocationOfExchangeWhereListed</vt:lpstr>
      <vt:lpstr>lis_NameOfSecuritisationRepository</vt:lpstr>
      <vt:lpstr>lis_NatureOfSecuritisation</vt:lpstr>
      <vt:lpstr>lis_OriginatorOfAssets</vt:lpstr>
      <vt:lpstr>lis_OtherIdentifierName</vt:lpstr>
      <vt:lpstr>lis_PrivateOrPublicSecuritisation</vt:lpstr>
      <vt:lpstr>lis_PurposeOfFiling</vt:lpstr>
      <vt:lpstr>lis_Q5.1</vt:lpstr>
      <vt:lpstr>lis_Sector</vt:lpstr>
      <vt:lpstr>lis_SectorCode</vt:lpstr>
      <vt:lpstr>lis_UnderlyingExposureClassification</vt:lpstr>
      <vt:lpstr>lis_VehicleActivityFVC</vt:lpstr>
      <vt:lpstr>lis_VehicleActivitySPV</vt:lpstr>
      <vt:lpstr>lis_YesNo</vt:lpstr>
      <vt:lpstr>ref_AccountancyStandard</vt:lpstr>
      <vt:lpstr>ref_AddressArea</vt:lpstr>
      <vt:lpstr>ref_AddressFloorBuilding</vt:lpstr>
      <vt:lpstr>ref_AddressOther</vt:lpstr>
      <vt:lpstr>ref_AddressStreet</vt:lpstr>
      <vt:lpstr>ref_CentralBankInstitutionNumber</vt:lpstr>
      <vt:lpstr>ref_CompanyType</vt:lpstr>
      <vt:lpstr>ref_Consolidation</vt:lpstr>
      <vt:lpstr>ref_Country</vt:lpstr>
      <vt:lpstr>ref_County</vt:lpstr>
      <vt:lpstr>ref_CRO</vt:lpstr>
      <vt:lpstr>ref_DebtIssuanceCurrencyDetails</vt:lpstr>
      <vt:lpstr>ref_DoesThisSPEIssueDebtSecurities</vt:lpstr>
      <vt:lpstr>ref_Eircode</vt:lpstr>
      <vt:lpstr>ref_ExpectedFTEs</vt:lpstr>
      <vt:lpstr>ref_FirstReportAssetSize</vt:lpstr>
      <vt:lpstr>ref_InstitutionName</vt:lpstr>
      <vt:lpstr>ref_InstitutionNumber</vt:lpstr>
      <vt:lpstr>ref_IsThisSPEIssuedDebtListed</vt:lpstr>
      <vt:lpstr>ref_LegalEntityType</vt:lpstr>
      <vt:lpstr>ref_LEI</vt:lpstr>
      <vt:lpstr>ref_LocationOfExchangeWhereListed</vt:lpstr>
      <vt:lpstr>ref_MaximumIssuanceSize</vt:lpstr>
      <vt:lpstr>ref_MIVDeclaration</vt:lpstr>
      <vt:lpstr>ref_MultiVehicleStructure</vt:lpstr>
      <vt:lpstr>ref_NameOfSecuritisationRepository</vt:lpstr>
      <vt:lpstr>ref_NatureOfSecuritisation</vt:lpstr>
      <vt:lpstr>ref_NatureOfSecuritisationDescription</vt:lpstr>
      <vt:lpstr>ref_NonConsolidatedInterestDisclosure</vt:lpstr>
      <vt:lpstr>ref_NumberOfTranches</vt:lpstr>
      <vt:lpstr>ref_OriginatorOfAssets</vt:lpstr>
      <vt:lpstr>ref_OrphanStructure</vt:lpstr>
      <vt:lpstr>ref_PrivateOrPublicSecuritisation</vt:lpstr>
      <vt:lpstr>ref_PurposeOfFiling</vt:lpstr>
      <vt:lpstr>ref_Q1</vt:lpstr>
      <vt:lpstr>ref_Q2</vt:lpstr>
      <vt:lpstr>ref_Q3</vt:lpstr>
      <vt:lpstr>ref_Q4</vt:lpstr>
      <vt:lpstr>ref_Q5</vt:lpstr>
      <vt:lpstr>ref_Q5.1</vt:lpstr>
      <vt:lpstr>ref_Q6</vt:lpstr>
      <vt:lpstr>ref_Q7</vt:lpstr>
      <vt:lpstr>ref_Q8</vt:lpstr>
      <vt:lpstr>ref_RegisteredAsSchedule2</vt:lpstr>
      <vt:lpstr>ref_Section110Declaration</vt:lpstr>
      <vt:lpstr>ref_SecuritisationDeclaration</vt:lpstr>
      <vt:lpstr>ref_SecuritisationReportedToSR</vt:lpstr>
      <vt:lpstr>ref_ThirdPartySTSVerificationAgent</vt:lpstr>
      <vt:lpstr>ref_UnderlyingExposureClassification</vt:lpstr>
      <vt:lpstr>ref_UndertakenSchedule2Activities</vt:lpstr>
      <vt:lpstr>ref_VehicleActivity</vt:lpstr>
      <vt:lpstr>ref_VehicleActivity_ActiveList</vt:lpstr>
      <vt:lpstr>ref_VehicleActivityDescription</vt:lpstr>
      <vt:lpstr>ref_VehicleCurrency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Bohan</dc:creator>
  <cp:keywords>Restricted</cp:keywords>
  <cp:lastModifiedBy>English, Harry</cp:lastModifiedBy>
  <cp:lastPrinted>2019-02-12T10:39:08Z</cp:lastPrinted>
  <dcterms:created xsi:type="dcterms:W3CDTF">2018-02-02T11:59:14Z</dcterms:created>
  <dcterms:modified xsi:type="dcterms:W3CDTF">2024-09-26T16:48:29Z</dcterms:modified>
  <cp:category>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7d7e9361-29a9-4627-b985-9519942c0926</vt:lpwstr>
  </property>
  <property fmtid="{D5CDD505-2E9C-101B-9397-08002B2CF9AE}" pid="3" name="{A44787D4-0540-4523-9961-78E4036D8C6D}">
    <vt:lpwstr>{9B8BA4A3-8AB2-4EF6-9C83-EB8518CCC8A2}</vt:lpwstr>
  </property>
  <property fmtid="{D5CDD505-2E9C-101B-9397-08002B2CF9AE}" pid="4" name="bjSaver">
    <vt:lpwstr>ifck05lNucbmWHtF26APTWyKyOVunzDq</vt:lpwstr>
  </property>
  <property fmtid="{D5CDD505-2E9C-101B-9397-08002B2CF9AE}" pid="5" name="_NewReviewCycle">
    <vt:lpwstr/>
  </property>
  <property fmtid="{D5CDD505-2E9C-101B-9397-08002B2CF9AE}" pid="6" name="ContentTypeId">
    <vt:lpwstr>0x010100783594B0997DE3459F691529E3F599E9</vt:lpwstr>
  </property>
  <property fmtid="{D5CDD505-2E9C-101B-9397-08002B2CF9AE}" pid="7" name="bjClsUserRVM">
    <vt:lpwstr>[]</vt:lpwstr>
  </property>
  <property fmtid="{D5CDD505-2E9C-101B-9397-08002B2CF9AE}" pid="8" name="_AdHocReviewCycleID">
    <vt:i4>1545991958</vt:i4>
  </property>
  <property fmtid="{D5CDD505-2E9C-101B-9397-08002B2CF9AE}" pid="9" name="_EmailSubject">
    <vt:lpwstr>SPE reg form format</vt:lpwstr>
  </property>
  <property fmtid="{D5CDD505-2E9C-101B-9397-08002B2CF9AE}" pid="10" name="_AuthorEmail">
    <vt:lpwstr>arya.pillai@centralbank.ie</vt:lpwstr>
  </property>
  <property fmtid="{D5CDD505-2E9C-101B-9397-08002B2CF9AE}" pid="11" name="_AuthorEmailDisplayName">
    <vt:lpwstr>Pillai, Arya</vt:lpwstr>
  </property>
  <property fmtid="{D5CDD505-2E9C-101B-9397-08002B2CF9AE}" pid="12" name="_ReviewingToolsShownOnce">
    <vt:lpwstr/>
  </property>
  <property fmtid="{D5CDD505-2E9C-101B-9397-08002B2CF9AE}" pid="13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4" name="bjDocumentLabelXML-0">
    <vt:lpwstr>ames.com/2008/01/sie/internal/label"&gt;&lt;element uid="id_classification_generalbusiness" value="" /&gt;&lt;/sisl&gt;</vt:lpwstr>
  </property>
  <property fmtid="{D5CDD505-2E9C-101B-9397-08002B2CF9AE}" pid="15" name="bjDocumentSecurityLabel">
    <vt:lpwstr>Restricted</vt:lpwstr>
  </property>
  <property fmtid="{D5CDD505-2E9C-101B-9397-08002B2CF9AE}" pid="16" name="bjLeftHeaderLabel-first">
    <vt:lpwstr>&amp;"Times New Roman,Regular"&amp;12&amp;K000000Central Bank of Ireland - RESTRICTED</vt:lpwstr>
  </property>
  <property fmtid="{D5CDD505-2E9C-101B-9397-08002B2CF9AE}" pid="17" name="bjLeftHeaderLabel-even">
    <vt:lpwstr>&amp;"Times New Roman,Regular"&amp;12&amp;K000000Central Bank of Ireland - RESTRICTED</vt:lpwstr>
  </property>
  <property fmtid="{D5CDD505-2E9C-101B-9397-08002B2CF9AE}" pid="18" name="bjLeftHeaderLabel">
    <vt:lpwstr>&amp;"Times New Roman,Regular"&amp;12&amp;K000000Central Bank of Ireland - RESTRICTED</vt:lpwstr>
  </property>
</Properties>
</file>